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8-Exploitation\01-Caractérisations\OM\Campagne SYCTOM 2011-2015 VERDICITE\22. données transmises projet romainville\Caractérisations sources par BV\"/>
    </mc:Choice>
  </mc:AlternateContent>
  <bookViews>
    <workbookView xWindow="120" yWindow="90" windowWidth="10935" windowHeight="7335" tabRatio="924" activeTab="10"/>
  </bookViews>
  <sheets>
    <sheet name="ISS H15 PB BAN" sheetId="1" r:id="rId1"/>
    <sheet name="ISS H15 PB PAR" sheetId="2" r:id="rId2"/>
    <sheet name="IVR H15 PB BAN" sheetId="3" r:id="rId3"/>
    <sheet name="IVR H15 PB PAR" sheetId="4" r:id="rId4"/>
    <sheet name="ROM H15 PB BAN" sheetId="5" r:id="rId5"/>
    <sheet name="ROM H15 PB PAR" sheetId="6" r:id="rId6"/>
    <sheet name="STO H15 PB BAN" sheetId="7" r:id="rId7"/>
    <sheet name="STO H15 PB PAR " sheetId="8" r:id="rId8"/>
    <sheet name="Synthèse PB" sheetId="9" r:id="rId9"/>
    <sheet name="ISS H15 PC BAN" sheetId="17" r:id="rId10"/>
    <sheet name="ISS H15 PC PAR" sheetId="16" r:id="rId11"/>
    <sheet name="IVR H15 PC BAN" sheetId="21" r:id="rId12"/>
    <sheet name="IVR H15 PC PAR" sheetId="20" r:id="rId13"/>
    <sheet name="ROM H15 PC BAN " sheetId="19" r:id="rId14"/>
    <sheet name="ROM H15 PC PAR" sheetId="23" r:id="rId15"/>
    <sheet name="STO H15 PC BAN" sheetId="22" r:id="rId16"/>
    <sheet name="STO H15 PC PAR" sheetId="18" r:id="rId17"/>
    <sheet name="Synthèse PC" sheetId="15" r:id="rId18"/>
    <sheet name="SYCTOM Déchets ini. recons." sheetId="24" r:id="rId19"/>
    <sheet name=" SYCTOM Déchets Orga" sheetId="25" r:id="rId20"/>
    <sheet name=" SYCTOM Catégories" sheetId="26" r:id="rId21"/>
    <sheet name=" SYCTOM CSR (2)" sheetId="27" r:id="rId22"/>
    <sheet name="PCI PB et PC" sheetId="2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Titles" localSheetId="20">' SYCTOM Catégories'!$A:$C,' SYCTOM Catégories'!$3:$4</definedName>
    <definedName name="_xlnm.Print_Titles" localSheetId="19">' SYCTOM Déchets Orga'!$A:$C,' SYCTOM Déchets Orga'!$3:$4</definedName>
    <definedName name="_xlnm.Print_Titles" localSheetId="18">'SYCTOM Déchets ini. recons.'!$A:$C</definedName>
    <definedName name="_xlnm.Print_Area" localSheetId="20">' SYCTOM Catégories'!$A$1:$R$27</definedName>
    <definedName name="_xlnm.Print_Area" localSheetId="21">' SYCTOM CSR (2)'!$B$1:$H$12</definedName>
    <definedName name="_xlnm.Print_Area" localSheetId="19">' SYCTOM Déchets Orga'!$A$1:$K$33</definedName>
    <definedName name="_xlnm.Print_Area" localSheetId="0">'ISS H15 PB BAN'!$A$1:$J$59</definedName>
    <definedName name="_xlnm.Print_Area" localSheetId="1">'ISS H15 PB PAR'!$A$1:$J$59</definedName>
    <definedName name="_xlnm.Print_Area" localSheetId="2">'IVR H15 PB BAN'!$A$1:$J$59</definedName>
    <definedName name="_xlnm.Print_Area" localSheetId="3">'IVR H15 PB PAR'!$A$1:$J$59</definedName>
    <definedName name="_xlnm.Print_Area" localSheetId="4">'ROM H15 PB BAN'!$A$1:$J$59</definedName>
    <definedName name="_xlnm.Print_Area" localSheetId="5">'ROM H15 PB PAR'!$A$1:$J$59</definedName>
    <definedName name="_xlnm.Print_Area" localSheetId="6">'STO H15 PB BAN'!$A$1:$J$59</definedName>
    <definedName name="_xlnm.Print_Area" localSheetId="7">'STO H15 PB PAR '!$A$1:$J$59</definedName>
    <definedName name="_xlnm.Print_Area" localSheetId="18">'SYCTOM Déchets ini. recons.'!$A$1:$K$31</definedName>
    <definedName name="_xlnm.Print_Area" localSheetId="8">'Synthèse PB'!$B$89:$M$103</definedName>
  </definedNames>
  <calcPr calcId="162913"/>
</workbook>
</file>

<file path=xl/calcChain.xml><?xml version="1.0" encoding="utf-8"?>
<calcChain xmlns="http://schemas.openxmlformats.org/spreadsheetml/2006/main">
  <c r="AG14" i="28" l="1"/>
  <c r="AF14" i="28"/>
  <c r="AG13" i="28"/>
  <c r="AF13" i="28"/>
  <c r="AG12" i="28"/>
  <c r="AF12" i="28"/>
  <c r="P12" i="28"/>
  <c r="O12" i="28"/>
  <c r="AG11" i="28"/>
  <c r="AF11" i="28"/>
  <c r="P11" i="28"/>
  <c r="O11" i="28"/>
  <c r="AG10" i="28"/>
  <c r="AF10" i="28"/>
  <c r="P10" i="28"/>
  <c r="O10" i="28"/>
  <c r="AG9" i="28"/>
  <c r="AF9" i="28"/>
  <c r="P9" i="28"/>
  <c r="O9" i="28"/>
  <c r="AG8" i="28"/>
  <c r="AF8" i="28"/>
  <c r="P8" i="28"/>
  <c r="O8" i="28"/>
  <c r="AG7" i="28"/>
  <c r="AF7" i="28"/>
  <c r="AG6" i="28"/>
  <c r="AF6" i="28"/>
  <c r="P6" i="28"/>
  <c r="O6" i="28"/>
  <c r="P5" i="28"/>
  <c r="O5" i="28"/>
  <c r="R2" i="28"/>
  <c r="B31" i="27"/>
  <c r="B30" i="27"/>
  <c r="B29" i="27"/>
  <c r="B28" i="27"/>
  <c r="B27" i="27"/>
  <c r="B26" i="27"/>
  <c r="B25" i="27"/>
  <c r="B24" i="27"/>
  <c r="B15" i="27"/>
  <c r="B21" i="27" s="1"/>
  <c r="BQ27" i="26"/>
  <c r="BP27" i="26"/>
  <c r="BO27" i="26"/>
  <c r="BN27" i="26"/>
  <c r="BM27" i="26"/>
  <c r="BL27" i="26"/>
  <c r="BK27" i="26"/>
  <c r="BJ27" i="26"/>
  <c r="BI27" i="26"/>
  <c r="BH27" i="26"/>
  <c r="BG27" i="26"/>
  <c r="BF27" i="26"/>
  <c r="BE27" i="26"/>
  <c r="BD27" i="26"/>
  <c r="BC27" i="26"/>
  <c r="AZ27" i="26"/>
  <c r="AY27" i="26"/>
  <c r="AX27" i="26"/>
  <c r="AW27" i="26"/>
  <c r="AV27" i="26"/>
  <c r="AU27" i="26"/>
  <c r="AT27" i="26"/>
  <c r="AS27" i="26"/>
  <c r="AR27" i="26"/>
  <c r="AQ27" i="26"/>
  <c r="AP27" i="26"/>
  <c r="AO27" i="26"/>
  <c r="AN27" i="26"/>
  <c r="AM27" i="26"/>
  <c r="AL27" i="26"/>
  <c r="BQ26" i="26"/>
  <c r="BP26" i="26"/>
  <c r="BO26" i="26"/>
  <c r="BN26" i="26"/>
  <c r="BM26" i="26"/>
  <c r="BL26" i="26"/>
  <c r="BK26" i="26"/>
  <c r="BJ26" i="26"/>
  <c r="BI26" i="26"/>
  <c r="BH26" i="26"/>
  <c r="BG26" i="26"/>
  <c r="BF26" i="26"/>
  <c r="BE26" i="26"/>
  <c r="BD26" i="26"/>
  <c r="BC26" i="26"/>
  <c r="AZ26" i="26"/>
  <c r="AY26" i="26"/>
  <c r="AX26" i="26"/>
  <c r="AW26" i="26"/>
  <c r="AV26" i="26"/>
  <c r="AU26" i="26"/>
  <c r="AT26" i="26"/>
  <c r="AS26" i="26"/>
  <c r="AR26" i="26"/>
  <c r="AQ26" i="26"/>
  <c r="AP26" i="26"/>
  <c r="AO26" i="26"/>
  <c r="AN26" i="26"/>
  <c r="AM26" i="26"/>
  <c r="AL26" i="26"/>
  <c r="BQ24" i="26"/>
  <c r="BP24" i="26"/>
  <c r="BO24" i="26"/>
  <c r="BN24" i="26"/>
  <c r="BM24" i="26"/>
  <c r="BL24" i="26"/>
  <c r="BK24" i="26"/>
  <c r="BJ24" i="26"/>
  <c r="BI24" i="26"/>
  <c r="BH24" i="26"/>
  <c r="BG24" i="26"/>
  <c r="BF24" i="26"/>
  <c r="BE24" i="26"/>
  <c r="BD24" i="26"/>
  <c r="BC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BQ23" i="26"/>
  <c r="BP23" i="26"/>
  <c r="BO23" i="26"/>
  <c r="BN23" i="26"/>
  <c r="BM23" i="26"/>
  <c r="BL23" i="26"/>
  <c r="BK23" i="26"/>
  <c r="BJ23" i="26"/>
  <c r="BI23" i="26"/>
  <c r="BH23" i="26"/>
  <c r="BG23" i="26"/>
  <c r="BF23" i="26"/>
  <c r="BE23" i="26"/>
  <c r="BD23" i="26"/>
  <c r="BC23" i="26"/>
  <c r="AZ23" i="26"/>
  <c r="AY23" i="26"/>
  <c r="AX23" i="26"/>
  <c r="AW23" i="26"/>
  <c r="AV23" i="26"/>
  <c r="AU23" i="26"/>
  <c r="AT23" i="26"/>
  <c r="AS23" i="26"/>
  <c r="AR23" i="26"/>
  <c r="AQ23" i="26"/>
  <c r="AP23" i="26"/>
  <c r="AO23" i="26"/>
  <c r="AN23" i="26"/>
  <c r="AM23" i="26"/>
  <c r="AL23" i="26"/>
  <c r="BQ22" i="26"/>
  <c r="BP22" i="26"/>
  <c r="BO22" i="26"/>
  <c r="BN22" i="26"/>
  <c r="BM22" i="26"/>
  <c r="BL22" i="26"/>
  <c r="BK22" i="26"/>
  <c r="BJ22" i="26"/>
  <c r="BI22" i="26"/>
  <c r="BH22" i="26"/>
  <c r="BG22" i="26"/>
  <c r="BF22" i="26"/>
  <c r="BE22" i="26"/>
  <c r="BD22" i="26"/>
  <c r="BC22" i="26"/>
  <c r="AZ22" i="26"/>
  <c r="AY22" i="26"/>
  <c r="AX22" i="26"/>
  <c r="AW22" i="26"/>
  <c r="AV22" i="26"/>
  <c r="AU22" i="26"/>
  <c r="AT22" i="26"/>
  <c r="AS22" i="26"/>
  <c r="AR22" i="26"/>
  <c r="AQ22" i="26"/>
  <c r="AP22" i="26"/>
  <c r="AO22" i="26"/>
  <c r="AN22" i="26"/>
  <c r="AM22" i="26"/>
  <c r="AL22" i="26"/>
  <c r="BQ21" i="26"/>
  <c r="BP21" i="26"/>
  <c r="BN21" i="26"/>
  <c r="BH21" i="26"/>
  <c r="BF21" i="26"/>
  <c r="BE21" i="26"/>
  <c r="BC21" i="26"/>
  <c r="AZ21" i="26"/>
  <c r="AY21" i="26"/>
  <c r="AX21" i="26"/>
  <c r="AW21" i="26"/>
  <c r="AQ21" i="26"/>
  <c r="AO21" i="26"/>
  <c r="AN21" i="26"/>
  <c r="AL21" i="26"/>
  <c r="BQ20" i="26"/>
  <c r="BP20" i="26"/>
  <c r="BO20" i="26"/>
  <c r="BN20" i="26"/>
  <c r="BM20" i="26"/>
  <c r="BL20" i="26"/>
  <c r="BK20" i="26"/>
  <c r="BJ20" i="26"/>
  <c r="BI20" i="26"/>
  <c r="BH20" i="26"/>
  <c r="BG20" i="26"/>
  <c r="BF20" i="26"/>
  <c r="BE20" i="26"/>
  <c r="BD20" i="26"/>
  <c r="BC20" i="26"/>
  <c r="AZ20" i="26"/>
  <c r="AY20" i="26"/>
  <c r="AX20" i="26"/>
  <c r="AW20" i="26"/>
  <c r="AV20" i="26"/>
  <c r="AU20" i="26"/>
  <c r="AT20" i="26"/>
  <c r="AS20" i="26"/>
  <c r="AR20" i="26"/>
  <c r="AQ20" i="26"/>
  <c r="AP20" i="26"/>
  <c r="AO20" i="26"/>
  <c r="AN20" i="26"/>
  <c r="AM20" i="26"/>
  <c r="AL20" i="26"/>
  <c r="BQ19" i="26"/>
  <c r="BP19" i="26"/>
  <c r="BO19" i="26"/>
  <c r="BN19" i="26"/>
  <c r="BM19" i="26"/>
  <c r="BL19" i="26"/>
  <c r="BK19" i="26"/>
  <c r="BJ19" i="26"/>
  <c r="BI19" i="26"/>
  <c r="BH19" i="26"/>
  <c r="BG19" i="26"/>
  <c r="BF19" i="26"/>
  <c r="BE19" i="26"/>
  <c r="BD19" i="26"/>
  <c r="BC19" i="26"/>
  <c r="AZ19" i="26"/>
  <c r="AY19" i="26"/>
  <c r="AX19" i="26"/>
  <c r="AW19" i="26"/>
  <c r="AV19" i="26"/>
  <c r="AU19" i="26"/>
  <c r="AT19" i="26"/>
  <c r="AS19" i="26"/>
  <c r="AR19" i="26"/>
  <c r="AQ19" i="26"/>
  <c r="AP19" i="26"/>
  <c r="AO19" i="26"/>
  <c r="AN19" i="26"/>
  <c r="AM19" i="26"/>
  <c r="AL19" i="26"/>
  <c r="BQ18" i="26"/>
  <c r="BP18" i="26"/>
  <c r="BO18" i="26"/>
  <c r="BN18" i="26"/>
  <c r="BM18" i="26"/>
  <c r="BL18" i="26"/>
  <c r="BK18" i="26"/>
  <c r="BJ18" i="26"/>
  <c r="BI18" i="26"/>
  <c r="BH18" i="26"/>
  <c r="BG18" i="26"/>
  <c r="BF18" i="26"/>
  <c r="BE18" i="26"/>
  <c r="BD18" i="26"/>
  <c r="BC18" i="26"/>
  <c r="AZ18" i="26"/>
  <c r="AY18" i="26"/>
  <c r="AX18" i="26"/>
  <c r="AW18" i="26"/>
  <c r="AV18" i="26"/>
  <c r="AU18" i="26"/>
  <c r="AT18" i="26"/>
  <c r="AS18" i="26"/>
  <c r="AR18" i="26"/>
  <c r="AQ18" i="26"/>
  <c r="AP18" i="26"/>
  <c r="AO18" i="26"/>
  <c r="AN18" i="26"/>
  <c r="AM18" i="26"/>
  <c r="AL18" i="26"/>
  <c r="BQ17" i="26"/>
  <c r="BP17" i="26"/>
  <c r="BO17" i="26"/>
  <c r="BN17" i="26"/>
  <c r="BM17" i="26"/>
  <c r="BL17" i="26"/>
  <c r="BK17" i="26"/>
  <c r="BJ17" i="26"/>
  <c r="BI17" i="26"/>
  <c r="BH17" i="26"/>
  <c r="BG17" i="26"/>
  <c r="BF17" i="26"/>
  <c r="BE17" i="26"/>
  <c r="BD17" i="26"/>
  <c r="BC17" i="26"/>
  <c r="AZ17" i="26"/>
  <c r="AY17" i="26"/>
  <c r="AX17" i="26"/>
  <c r="AW17" i="26"/>
  <c r="AV17" i="26"/>
  <c r="AU17" i="26"/>
  <c r="AT17" i="26"/>
  <c r="AS17" i="26"/>
  <c r="AR17" i="26"/>
  <c r="AQ17" i="26"/>
  <c r="AP17" i="26"/>
  <c r="AO17" i="26"/>
  <c r="AN17" i="26"/>
  <c r="AM17" i="26"/>
  <c r="AL17" i="26"/>
  <c r="BQ16" i="26"/>
  <c r="BP16" i="26"/>
  <c r="BO16" i="26"/>
  <c r="BN16" i="26"/>
  <c r="BM16" i="26"/>
  <c r="BL16" i="26"/>
  <c r="BK16" i="26"/>
  <c r="BJ16" i="26"/>
  <c r="BI16" i="26"/>
  <c r="BH16" i="26"/>
  <c r="BG16" i="26"/>
  <c r="BF16" i="26"/>
  <c r="BE16" i="26"/>
  <c r="BD16" i="26"/>
  <c r="BC16" i="26"/>
  <c r="AZ16" i="26"/>
  <c r="AY16" i="26"/>
  <c r="AX16" i="26"/>
  <c r="AW16" i="26"/>
  <c r="AV16" i="26"/>
  <c r="AU16" i="26"/>
  <c r="AT16" i="26"/>
  <c r="AS16" i="26"/>
  <c r="AR16" i="26"/>
  <c r="AQ16" i="26"/>
  <c r="AP16" i="26"/>
  <c r="AO16" i="26"/>
  <c r="AN16" i="26"/>
  <c r="AM16" i="26"/>
  <c r="AL16" i="26"/>
  <c r="BQ14" i="26"/>
  <c r="BP14" i="26"/>
  <c r="BO14" i="26"/>
  <c r="BN14" i="26"/>
  <c r="BM14" i="26"/>
  <c r="BL14" i="26"/>
  <c r="BK14" i="26"/>
  <c r="BJ14" i="26"/>
  <c r="BI14" i="26"/>
  <c r="BH14" i="26"/>
  <c r="BG14" i="26"/>
  <c r="BF14" i="26"/>
  <c r="BE14" i="26"/>
  <c r="BD14" i="26"/>
  <c r="BC14" i="26"/>
  <c r="AZ14" i="26"/>
  <c r="AY14" i="26"/>
  <c r="AX14" i="26"/>
  <c r="AW14" i="26"/>
  <c r="AV14" i="26"/>
  <c r="AU14" i="26"/>
  <c r="AT14" i="26"/>
  <c r="AS14" i="26"/>
  <c r="AR14" i="26"/>
  <c r="AQ14" i="26"/>
  <c r="AP14" i="26"/>
  <c r="AO14" i="26"/>
  <c r="AN14" i="26"/>
  <c r="AM14" i="26"/>
  <c r="AL14" i="26"/>
  <c r="BQ13" i="26"/>
  <c r="BP13" i="26"/>
  <c r="BO13" i="26"/>
  <c r="BN13" i="26"/>
  <c r="BM13" i="26"/>
  <c r="BL13" i="26"/>
  <c r="BK13" i="26"/>
  <c r="BJ13" i="26"/>
  <c r="BI13" i="26"/>
  <c r="BH13" i="26"/>
  <c r="BG13" i="26"/>
  <c r="BF13" i="26"/>
  <c r="BE13" i="26"/>
  <c r="BD13" i="26"/>
  <c r="BC13" i="26"/>
  <c r="AZ13" i="26"/>
  <c r="AY13" i="26"/>
  <c r="AX13" i="26"/>
  <c r="AW13" i="26"/>
  <c r="AV13" i="26"/>
  <c r="AU13" i="26"/>
  <c r="AT13" i="26"/>
  <c r="AS13" i="26"/>
  <c r="AR13" i="26"/>
  <c r="AQ13" i="26"/>
  <c r="AP13" i="26"/>
  <c r="AO13" i="26"/>
  <c r="AN13" i="26"/>
  <c r="AM13" i="26"/>
  <c r="AL13" i="26"/>
  <c r="BQ12" i="26"/>
  <c r="BP12" i="26"/>
  <c r="BO12" i="26"/>
  <c r="BN12" i="26"/>
  <c r="BM12" i="26"/>
  <c r="BL12" i="26"/>
  <c r="BK12" i="26"/>
  <c r="BJ12" i="26"/>
  <c r="BI12" i="26"/>
  <c r="BH12" i="26"/>
  <c r="BG12" i="26"/>
  <c r="BF12" i="26"/>
  <c r="BE12" i="26"/>
  <c r="BD12" i="26"/>
  <c r="BC12" i="26"/>
  <c r="AZ12" i="26"/>
  <c r="AY12" i="26"/>
  <c r="AX12" i="26"/>
  <c r="AW12" i="26"/>
  <c r="AV12" i="26"/>
  <c r="AU12" i="26"/>
  <c r="AT12" i="26"/>
  <c r="AS12" i="26"/>
  <c r="AR12" i="26"/>
  <c r="AQ12" i="26"/>
  <c r="AP12" i="26"/>
  <c r="AO12" i="26"/>
  <c r="AN12" i="26"/>
  <c r="AM12" i="26"/>
  <c r="AL12" i="26"/>
  <c r="BQ11" i="26"/>
  <c r="BP11" i="26"/>
  <c r="BO11" i="26"/>
  <c r="BN11" i="26"/>
  <c r="BM11" i="26"/>
  <c r="BL11" i="26"/>
  <c r="BK11" i="26"/>
  <c r="BJ11" i="26"/>
  <c r="BI11" i="26"/>
  <c r="BH11" i="26"/>
  <c r="BG11" i="26"/>
  <c r="BF11" i="26"/>
  <c r="BE11" i="26"/>
  <c r="BD11" i="26"/>
  <c r="BC11" i="26"/>
  <c r="AZ11" i="26"/>
  <c r="AY11" i="26"/>
  <c r="AX11" i="26"/>
  <c r="AW11" i="26"/>
  <c r="AV11" i="26"/>
  <c r="AU11" i="26"/>
  <c r="AT11" i="26"/>
  <c r="AR11" i="26"/>
  <c r="AQ11" i="26"/>
  <c r="AP11" i="26"/>
  <c r="AO11" i="26"/>
  <c r="AN11" i="26"/>
  <c r="AM11" i="26"/>
  <c r="AL11" i="26"/>
  <c r="BQ10" i="26"/>
  <c r="BP10" i="26"/>
  <c r="BO10" i="26"/>
  <c r="BN10" i="26"/>
  <c r="BM10" i="26"/>
  <c r="BL10" i="26"/>
  <c r="BK10" i="26"/>
  <c r="BJ10" i="26"/>
  <c r="BI10" i="26"/>
  <c r="BH10" i="26"/>
  <c r="BG10" i="26"/>
  <c r="BF10" i="26"/>
  <c r="BE10" i="26"/>
  <c r="BD10" i="26"/>
  <c r="BC10" i="26"/>
  <c r="AZ10" i="26"/>
  <c r="AY10" i="26"/>
  <c r="AX10" i="26"/>
  <c r="AW10" i="26"/>
  <c r="AV10" i="26"/>
  <c r="AU10" i="26"/>
  <c r="AT10" i="26"/>
  <c r="AR10" i="26"/>
  <c r="AQ10" i="26"/>
  <c r="AP10" i="26"/>
  <c r="AO10" i="26"/>
  <c r="AN10" i="26"/>
  <c r="AM10" i="26"/>
  <c r="AL10" i="26"/>
  <c r="BQ9" i="26"/>
  <c r="BP9" i="26"/>
  <c r="BO9" i="26"/>
  <c r="BN9" i="26"/>
  <c r="BM9" i="26"/>
  <c r="BL9" i="26"/>
  <c r="BK9" i="26"/>
  <c r="BJ9" i="26"/>
  <c r="BI9" i="26"/>
  <c r="BH9" i="26"/>
  <c r="BG9" i="26"/>
  <c r="BF9" i="26"/>
  <c r="BE9" i="26"/>
  <c r="BD9" i="26"/>
  <c r="BC9" i="26"/>
  <c r="AZ9" i="26"/>
  <c r="AY9" i="26"/>
  <c r="AX9" i="26"/>
  <c r="AW9" i="26"/>
  <c r="AV9" i="26"/>
  <c r="AU9" i="26"/>
  <c r="AT9" i="26"/>
  <c r="AR9" i="26"/>
  <c r="AQ9" i="26"/>
  <c r="AP9" i="26"/>
  <c r="AO9" i="26"/>
  <c r="AN9" i="26"/>
  <c r="AM9" i="26"/>
  <c r="AL9" i="26"/>
  <c r="BQ5" i="26"/>
  <c r="BP5" i="26"/>
  <c r="BO5" i="26"/>
  <c r="BN5" i="26"/>
  <c r="BM5" i="26"/>
  <c r="BL5" i="26"/>
  <c r="BK5" i="26"/>
  <c r="BJ5" i="26"/>
  <c r="BI5" i="26"/>
  <c r="BH5" i="26"/>
  <c r="BG5" i="26"/>
  <c r="BF5" i="26"/>
  <c r="BE5" i="26"/>
  <c r="BD5" i="26"/>
  <c r="BC5" i="26"/>
  <c r="AZ5" i="26"/>
  <c r="AY5" i="26"/>
  <c r="AX5" i="26"/>
  <c r="AW5" i="26"/>
  <c r="AV5" i="26"/>
  <c r="AU5" i="26"/>
  <c r="AT5" i="26"/>
  <c r="AR5" i="26"/>
  <c r="AQ5" i="26"/>
  <c r="AP5" i="26"/>
  <c r="AO5" i="26"/>
  <c r="AN5" i="26"/>
  <c r="AM5" i="26"/>
  <c r="AL5" i="26"/>
  <c r="AI4" i="26"/>
  <c r="AZ4" i="26" s="1"/>
  <c r="BQ4" i="26" s="1"/>
  <c r="AH4" i="26"/>
  <c r="AY4" i="26" s="1"/>
  <c r="BP4" i="26" s="1"/>
  <c r="AG4" i="26"/>
  <c r="AX4" i="26" s="1"/>
  <c r="BO4" i="26" s="1"/>
  <c r="AF4" i="26"/>
  <c r="AW4" i="26" s="1"/>
  <c r="BN4" i="26" s="1"/>
  <c r="AE4" i="26"/>
  <c r="AV4" i="26" s="1"/>
  <c r="BM4" i="26" s="1"/>
  <c r="AD4" i="26"/>
  <c r="AU4" i="26" s="1"/>
  <c r="BL4" i="26" s="1"/>
  <c r="AC4" i="26"/>
  <c r="AT4" i="26" s="1"/>
  <c r="BK4" i="26" s="1"/>
  <c r="AB4" i="26"/>
  <c r="AS4" i="26" s="1"/>
  <c r="BJ4" i="26" s="1"/>
  <c r="AA4" i="26"/>
  <c r="AR4" i="26" s="1"/>
  <c r="BI4" i="26" s="1"/>
  <c r="Z4" i="26"/>
  <c r="AQ4" i="26" s="1"/>
  <c r="BH4" i="26" s="1"/>
  <c r="Y4" i="26"/>
  <c r="AP4" i="26" s="1"/>
  <c r="BG4" i="26" s="1"/>
  <c r="X4" i="26"/>
  <c r="AO4" i="26" s="1"/>
  <c r="BF4" i="26" s="1"/>
  <c r="W4" i="26"/>
  <c r="AN4" i="26" s="1"/>
  <c r="BE4" i="26" s="1"/>
  <c r="V4" i="26"/>
  <c r="AM4" i="26" s="1"/>
  <c r="BD4" i="26" s="1"/>
  <c r="U4" i="26"/>
  <c r="AL4" i="26" s="1"/>
  <c r="BC4" i="26" s="1"/>
  <c r="P2" i="26"/>
  <c r="L2" i="26"/>
  <c r="H2" i="26"/>
  <c r="D2" i="25"/>
  <c r="H2" i="25" s="1"/>
  <c r="V31" i="24"/>
  <c r="U31" i="24"/>
  <c r="V30" i="24"/>
  <c r="U30" i="24"/>
  <c r="V29" i="24"/>
  <c r="U29" i="24"/>
  <c r="V28" i="24"/>
  <c r="U28" i="24"/>
  <c r="T27" i="24"/>
  <c r="U27" i="24" s="1"/>
  <c r="V25" i="24"/>
  <c r="U25" i="24"/>
  <c r="V24" i="24"/>
  <c r="U24" i="24"/>
  <c r="V23" i="24"/>
  <c r="U23" i="24"/>
  <c r="V22" i="24"/>
  <c r="U22" i="24"/>
  <c r="V21" i="24"/>
  <c r="U21" i="24"/>
  <c r="V20" i="24"/>
  <c r="U20" i="24"/>
  <c r="V19" i="24"/>
  <c r="U19" i="24"/>
  <c r="V18" i="24"/>
  <c r="U18" i="24"/>
  <c r="V17" i="24"/>
  <c r="U17" i="24"/>
  <c r="V16" i="24"/>
  <c r="U16" i="24"/>
  <c r="V14" i="24"/>
  <c r="U14" i="24"/>
  <c r="V13" i="24"/>
  <c r="U13" i="24"/>
  <c r="V12" i="24"/>
  <c r="U12" i="24"/>
  <c r="T11" i="24"/>
  <c r="V11" i="24" s="1"/>
  <c r="T10" i="24"/>
  <c r="U10" i="24" s="1"/>
  <c r="T9" i="24"/>
  <c r="U9" i="24" s="1"/>
  <c r="D2" i="24"/>
  <c r="H2" i="24" s="1"/>
  <c r="V9" i="24" l="1"/>
  <c r="U11" i="24"/>
  <c r="V10" i="24"/>
  <c r="V27" i="24"/>
  <c r="E20" i="19" l="1"/>
  <c r="D20" i="19"/>
  <c r="C20" i="19"/>
  <c r="B20" i="19"/>
  <c r="B21" i="19" s="1"/>
  <c r="E19" i="19"/>
  <c r="D19" i="19"/>
  <c r="C19" i="19"/>
  <c r="E18" i="19"/>
  <c r="D18" i="19"/>
  <c r="D21" i="19" s="1"/>
  <c r="C18" i="19"/>
  <c r="G12" i="19"/>
  <c r="G10" i="19"/>
  <c r="B10" i="19"/>
  <c r="G9" i="19"/>
  <c r="G11" i="19" s="1"/>
  <c r="B9" i="19"/>
  <c r="C5" i="19"/>
  <c r="C4" i="19"/>
  <c r="B3" i="19"/>
  <c r="B2" i="19"/>
  <c r="G1" i="15" s="1"/>
  <c r="E20" i="18"/>
  <c r="D20" i="18"/>
  <c r="C20" i="18"/>
  <c r="B20" i="18"/>
  <c r="B21" i="18" s="1"/>
  <c r="E19" i="18"/>
  <c r="D19" i="18"/>
  <c r="C19" i="18"/>
  <c r="E18" i="18"/>
  <c r="D18" i="18"/>
  <c r="C18" i="18"/>
  <c r="G12" i="18"/>
  <c r="G10" i="18"/>
  <c r="B10" i="18"/>
  <c r="G9" i="18"/>
  <c r="G11" i="18" s="1"/>
  <c r="B9" i="18"/>
  <c r="C5" i="18"/>
  <c r="C4" i="18"/>
  <c r="B3" i="18"/>
  <c r="B2" i="18"/>
  <c r="J1" i="15" s="1"/>
  <c r="E20" i="22"/>
  <c r="D20" i="22"/>
  <c r="C20" i="22"/>
  <c r="B20" i="22"/>
  <c r="E19" i="22"/>
  <c r="D19" i="22"/>
  <c r="C19" i="22"/>
  <c r="F19" i="22" s="1"/>
  <c r="E18" i="22"/>
  <c r="D18" i="22"/>
  <c r="D21" i="22" s="1"/>
  <c r="C18" i="22"/>
  <c r="G12" i="22"/>
  <c r="G10" i="22"/>
  <c r="B10" i="22"/>
  <c r="G9" i="22"/>
  <c r="G11" i="22" s="1"/>
  <c r="B9" i="22"/>
  <c r="C5" i="22"/>
  <c r="C4" i="22"/>
  <c r="B3" i="22"/>
  <c r="B2" i="22"/>
  <c r="I1" i="15" s="1"/>
  <c r="E20" i="23"/>
  <c r="D20" i="23"/>
  <c r="C20" i="23"/>
  <c r="B20" i="23"/>
  <c r="B21" i="23" s="1"/>
  <c r="E19" i="23"/>
  <c r="D19" i="23"/>
  <c r="D21" i="23" s="1"/>
  <c r="C19" i="23"/>
  <c r="E18" i="23"/>
  <c r="E21" i="23" s="1"/>
  <c r="D18" i="23"/>
  <c r="C18" i="23"/>
  <c r="C21" i="23" s="1"/>
  <c r="G12" i="23"/>
  <c r="G11" i="23"/>
  <c r="G10" i="23"/>
  <c r="B10" i="23"/>
  <c r="G9" i="23"/>
  <c r="B9" i="23"/>
  <c r="C5" i="23"/>
  <c r="C4" i="23"/>
  <c r="B3" i="23"/>
  <c r="B2" i="23"/>
  <c r="H1" i="15" s="1"/>
  <c r="E20" i="20"/>
  <c r="D20" i="20"/>
  <c r="C20" i="20"/>
  <c r="B20" i="20"/>
  <c r="E19" i="20"/>
  <c r="D19" i="20"/>
  <c r="C19" i="20"/>
  <c r="E18" i="20"/>
  <c r="D18" i="20"/>
  <c r="C18" i="20"/>
  <c r="G12" i="20"/>
  <c r="G10" i="20"/>
  <c r="B10" i="20"/>
  <c r="G9" i="20"/>
  <c r="G11" i="20" s="1"/>
  <c r="B9" i="20"/>
  <c r="C5" i="20"/>
  <c r="C4" i="20"/>
  <c r="B3" i="20"/>
  <c r="B2" i="20"/>
  <c r="F1" i="15" s="1"/>
  <c r="E20" i="21"/>
  <c r="D20" i="21"/>
  <c r="C20" i="21"/>
  <c r="B20" i="21"/>
  <c r="E19" i="21"/>
  <c r="D19" i="21"/>
  <c r="C19" i="21"/>
  <c r="F19" i="21" s="1"/>
  <c r="E18" i="21"/>
  <c r="D18" i="21"/>
  <c r="D21" i="21" s="1"/>
  <c r="C18" i="21"/>
  <c r="G12" i="21"/>
  <c r="G10" i="21"/>
  <c r="B10" i="21"/>
  <c r="G9" i="21"/>
  <c r="G11" i="21" s="1"/>
  <c r="B9" i="21"/>
  <c r="C5" i="21"/>
  <c r="C4" i="21"/>
  <c r="B3" i="21"/>
  <c r="B2" i="21"/>
  <c r="E1" i="15" s="1"/>
  <c r="E20" i="16"/>
  <c r="D20" i="16"/>
  <c r="C20" i="16"/>
  <c r="B20" i="16"/>
  <c r="B21" i="16" s="1"/>
  <c r="E19" i="16"/>
  <c r="D19" i="16"/>
  <c r="C19" i="16"/>
  <c r="E18" i="16"/>
  <c r="E21" i="16" s="1"/>
  <c r="D18" i="16"/>
  <c r="C18" i="16"/>
  <c r="F18" i="16" s="1"/>
  <c r="G12" i="16"/>
  <c r="G10" i="16"/>
  <c r="B10" i="16"/>
  <c r="G9" i="16"/>
  <c r="G11" i="16" s="1"/>
  <c r="B9" i="16"/>
  <c r="C5" i="16"/>
  <c r="C4" i="16"/>
  <c r="B3" i="16"/>
  <c r="B2" i="16"/>
  <c r="D1" i="15" s="1"/>
  <c r="E20" i="17"/>
  <c r="D20" i="17"/>
  <c r="C20" i="17"/>
  <c r="B20" i="17"/>
  <c r="E19" i="17"/>
  <c r="D19" i="17"/>
  <c r="C19" i="17"/>
  <c r="E18" i="17"/>
  <c r="D18" i="17"/>
  <c r="D21" i="17" s="1"/>
  <c r="C18" i="17"/>
  <c r="G12" i="17"/>
  <c r="G10" i="17"/>
  <c r="B10" i="17"/>
  <c r="G9" i="17"/>
  <c r="G11" i="17" s="1"/>
  <c r="B9" i="17"/>
  <c r="C5" i="17"/>
  <c r="C4" i="17"/>
  <c r="B3" i="17"/>
  <c r="B2" i="17"/>
  <c r="C1" i="15" s="1"/>
  <c r="J63" i="8"/>
  <c r="H63" i="8" s="1"/>
  <c r="E63" i="8"/>
  <c r="D63" i="8"/>
  <c r="C63" i="8"/>
  <c r="B63" i="8"/>
  <c r="E62" i="8"/>
  <c r="D62" i="8"/>
  <c r="C62" i="8"/>
  <c r="E61" i="8"/>
  <c r="D61" i="8"/>
  <c r="C61" i="8"/>
  <c r="E60" i="8"/>
  <c r="D60" i="8"/>
  <c r="C60" i="8"/>
  <c r="F60" i="8" s="1"/>
  <c r="E59" i="8"/>
  <c r="D59" i="8"/>
  <c r="C59" i="8"/>
  <c r="E58" i="8"/>
  <c r="D58" i="8"/>
  <c r="C58" i="8"/>
  <c r="E57" i="8"/>
  <c r="D57" i="8"/>
  <c r="C57" i="8"/>
  <c r="E56" i="8"/>
  <c r="D56" i="8"/>
  <c r="C56" i="8"/>
  <c r="F56" i="8" s="1"/>
  <c r="E55" i="8"/>
  <c r="D55" i="8"/>
  <c r="C55" i="8"/>
  <c r="E54" i="8"/>
  <c r="D54" i="8"/>
  <c r="C54" i="8"/>
  <c r="J53" i="8"/>
  <c r="E53" i="8"/>
  <c r="D53" i="8"/>
  <c r="C53" i="8"/>
  <c r="J52" i="8"/>
  <c r="H52" i="8" s="1"/>
  <c r="E52" i="8"/>
  <c r="D52" i="8"/>
  <c r="C52" i="8"/>
  <c r="E51" i="8"/>
  <c r="D51" i="8"/>
  <c r="C51" i="8"/>
  <c r="E50" i="8"/>
  <c r="D50" i="8"/>
  <c r="C50" i="8"/>
  <c r="F50" i="8" s="1"/>
  <c r="E49" i="8"/>
  <c r="D49" i="8"/>
  <c r="C49" i="8"/>
  <c r="E48" i="8"/>
  <c r="D48" i="8"/>
  <c r="C48" i="8"/>
  <c r="E47" i="8"/>
  <c r="D47" i="8"/>
  <c r="C47" i="8"/>
  <c r="J46" i="8"/>
  <c r="E46" i="8"/>
  <c r="D46" i="8"/>
  <c r="C46" i="8"/>
  <c r="E45" i="8"/>
  <c r="D45" i="8"/>
  <c r="C45" i="8"/>
  <c r="F45" i="8" s="1"/>
  <c r="J44" i="8"/>
  <c r="E44" i="8"/>
  <c r="D44" i="8"/>
  <c r="C44" i="8"/>
  <c r="F44" i="8" s="1"/>
  <c r="J43" i="8"/>
  <c r="H43" i="8" s="1"/>
  <c r="E43" i="8"/>
  <c r="D43" i="8"/>
  <c r="C43" i="8"/>
  <c r="F43" i="8" s="1"/>
  <c r="H42" i="8"/>
  <c r="E42" i="8"/>
  <c r="D42" i="8"/>
  <c r="C42" i="8"/>
  <c r="F42" i="8" s="1"/>
  <c r="H41" i="8"/>
  <c r="E41" i="8"/>
  <c r="D41" i="8"/>
  <c r="C41" i="8"/>
  <c r="F41" i="8" s="1"/>
  <c r="H40" i="8"/>
  <c r="E40" i="8"/>
  <c r="D40" i="8"/>
  <c r="C40" i="8"/>
  <c r="H39" i="8"/>
  <c r="E39" i="8"/>
  <c r="D39" i="8"/>
  <c r="C39" i="8"/>
  <c r="F39" i="8" s="1"/>
  <c r="J38" i="8"/>
  <c r="H38" i="8"/>
  <c r="E38" i="8"/>
  <c r="D38" i="8"/>
  <c r="C38" i="8"/>
  <c r="H37" i="8"/>
  <c r="E37" i="8"/>
  <c r="D37" i="8"/>
  <c r="C37" i="8"/>
  <c r="J36" i="8"/>
  <c r="H36" i="8"/>
  <c r="E36" i="8"/>
  <c r="D36" i="8"/>
  <c r="C36" i="8"/>
  <c r="J35" i="8"/>
  <c r="H35" i="8"/>
  <c r="E35" i="8"/>
  <c r="D35" i="8"/>
  <c r="C35" i="8"/>
  <c r="E34" i="8"/>
  <c r="D34" i="8"/>
  <c r="C34" i="8"/>
  <c r="F34" i="8" s="1"/>
  <c r="E33" i="8"/>
  <c r="D33" i="8"/>
  <c r="F33" i="8" s="1"/>
  <c r="C33" i="8"/>
  <c r="E32" i="8"/>
  <c r="D32" i="8"/>
  <c r="C32" i="8"/>
  <c r="J31" i="8"/>
  <c r="E31" i="8"/>
  <c r="D31" i="8"/>
  <c r="C31" i="8"/>
  <c r="F31" i="8" s="1"/>
  <c r="H30" i="8"/>
  <c r="E30" i="8"/>
  <c r="D30" i="8"/>
  <c r="C30" i="8"/>
  <c r="H29" i="8"/>
  <c r="E29" i="8"/>
  <c r="D29" i="8"/>
  <c r="C29" i="8"/>
  <c r="J28" i="8"/>
  <c r="H28" i="8"/>
  <c r="E28" i="8"/>
  <c r="D28" i="8"/>
  <c r="F28" i="8" s="1"/>
  <c r="C28" i="8"/>
  <c r="H27" i="8"/>
  <c r="E27" i="8"/>
  <c r="D27" i="8"/>
  <c r="F27" i="8" s="1"/>
  <c r="C27" i="8"/>
  <c r="H26" i="8"/>
  <c r="E26" i="8"/>
  <c r="D26" i="8"/>
  <c r="C26" i="8"/>
  <c r="H25" i="8"/>
  <c r="E25" i="8"/>
  <c r="D25" i="8"/>
  <c r="C25" i="8"/>
  <c r="H24" i="8"/>
  <c r="E24" i="8"/>
  <c r="D24" i="8"/>
  <c r="C24" i="8"/>
  <c r="J23" i="8"/>
  <c r="H23" i="8"/>
  <c r="E23" i="8"/>
  <c r="D23" i="8"/>
  <c r="C23" i="8"/>
  <c r="E22" i="8"/>
  <c r="D22" i="8"/>
  <c r="F22" i="8" s="1"/>
  <c r="C22" i="8"/>
  <c r="E21" i="8"/>
  <c r="D21" i="8"/>
  <c r="C21" i="8"/>
  <c r="E20" i="8"/>
  <c r="D20" i="8"/>
  <c r="F20" i="8" s="1"/>
  <c r="C20" i="8"/>
  <c r="E19" i="8"/>
  <c r="D19" i="8"/>
  <c r="C19" i="8"/>
  <c r="J18" i="8"/>
  <c r="E18" i="8"/>
  <c r="D18" i="8"/>
  <c r="C18" i="8"/>
  <c r="C64" i="8" s="1"/>
  <c r="G12" i="8"/>
  <c r="G10" i="8"/>
  <c r="B10" i="8"/>
  <c r="G9" i="8"/>
  <c r="G11" i="8" s="1"/>
  <c r="B9" i="8"/>
  <c r="C5" i="8"/>
  <c r="C4" i="8"/>
  <c r="B3" i="8"/>
  <c r="B2" i="8"/>
  <c r="Q1" i="9" s="1"/>
  <c r="J63" i="7"/>
  <c r="H63" i="7" s="1"/>
  <c r="E63" i="7"/>
  <c r="D63" i="7"/>
  <c r="C63" i="7"/>
  <c r="B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E56" i="7"/>
  <c r="D56" i="7"/>
  <c r="C56" i="7"/>
  <c r="E55" i="7"/>
  <c r="D55" i="7"/>
  <c r="C55" i="7"/>
  <c r="E54" i="7"/>
  <c r="D54" i="7"/>
  <c r="C54" i="7"/>
  <c r="J53" i="7"/>
  <c r="E53" i="7"/>
  <c r="D53" i="7"/>
  <c r="C53" i="7"/>
  <c r="J52" i="7"/>
  <c r="H52" i="7" s="1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J46" i="7"/>
  <c r="E46" i="7"/>
  <c r="D46" i="7"/>
  <c r="C46" i="7"/>
  <c r="F46" i="7" s="1"/>
  <c r="E45" i="7"/>
  <c r="D45" i="7"/>
  <c r="C45" i="7"/>
  <c r="J44" i="7"/>
  <c r="E44" i="7"/>
  <c r="D44" i="7"/>
  <c r="C44" i="7"/>
  <c r="J43" i="7"/>
  <c r="H43" i="7" s="1"/>
  <c r="E43" i="7"/>
  <c r="D43" i="7"/>
  <c r="C43" i="7"/>
  <c r="H42" i="7"/>
  <c r="E42" i="7"/>
  <c r="D42" i="7"/>
  <c r="C42" i="7"/>
  <c r="H41" i="7"/>
  <c r="E41" i="7"/>
  <c r="D41" i="7"/>
  <c r="C41" i="7"/>
  <c r="H40" i="7"/>
  <c r="E40" i="7"/>
  <c r="D40" i="7"/>
  <c r="C40" i="7"/>
  <c r="H39" i="7"/>
  <c r="E39" i="7"/>
  <c r="D39" i="7"/>
  <c r="C39" i="7"/>
  <c r="J38" i="7"/>
  <c r="H38" i="7"/>
  <c r="E38" i="7"/>
  <c r="D38" i="7"/>
  <c r="C38" i="7"/>
  <c r="H37" i="7"/>
  <c r="E37" i="7"/>
  <c r="D37" i="7"/>
  <c r="C37" i="7"/>
  <c r="J36" i="7"/>
  <c r="H36" i="7"/>
  <c r="E36" i="7"/>
  <c r="D36" i="7"/>
  <c r="C36" i="7"/>
  <c r="J35" i="7"/>
  <c r="H35" i="7"/>
  <c r="E35" i="7"/>
  <c r="D35" i="7"/>
  <c r="C35" i="7"/>
  <c r="E34" i="7"/>
  <c r="D34" i="7"/>
  <c r="C34" i="7"/>
  <c r="E33" i="7"/>
  <c r="D33" i="7"/>
  <c r="C33" i="7"/>
  <c r="E32" i="7"/>
  <c r="D32" i="7"/>
  <c r="C32" i="7"/>
  <c r="J31" i="7"/>
  <c r="E31" i="7"/>
  <c r="D31" i="7"/>
  <c r="C31" i="7"/>
  <c r="H30" i="7"/>
  <c r="E30" i="7"/>
  <c r="D30" i="7"/>
  <c r="C30" i="7"/>
  <c r="H29" i="7"/>
  <c r="E29" i="7"/>
  <c r="D29" i="7"/>
  <c r="C29" i="7"/>
  <c r="J28" i="7"/>
  <c r="H28" i="7"/>
  <c r="E28" i="7"/>
  <c r="D28" i="7"/>
  <c r="C28" i="7"/>
  <c r="H27" i="7"/>
  <c r="E27" i="7"/>
  <c r="D27" i="7"/>
  <c r="C27" i="7"/>
  <c r="H26" i="7"/>
  <c r="E26" i="7"/>
  <c r="D26" i="7"/>
  <c r="C26" i="7"/>
  <c r="H25" i="7"/>
  <c r="E25" i="7"/>
  <c r="D25" i="7"/>
  <c r="C25" i="7"/>
  <c r="H24" i="7"/>
  <c r="E24" i="7"/>
  <c r="D24" i="7"/>
  <c r="C24" i="7"/>
  <c r="J23" i="7"/>
  <c r="H23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J18" i="7"/>
  <c r="E18" i="7"/>
  <c r="D18" i="7"/>
  <c r="C18" i="7"/>
  <c r="G12" i="7"/>
  <c r="G10" i="7"/>
  <c r="B10" i="7"/>
  <c r="G9" i="7"/>
  <c r="B9" i="7"/>
  <c r="C5" i="7"/>
  <c r="C4" i="7"/>
  <c r="B3" i="7"/>
  <c r="B2" i="7"/>
  <c r="O1" i="9" s="1"/>
  <c r="J63" i="6"/>
  <c r="H63" i="6" s="1"/>
  <c r="E63" i="6"/>
  <c r="D63" i="6"/>
  <c r="C63" i="6"/>
  <c r="B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J53" i="6"/>
  <c r="E53" i="6"/>
  <c r="D53" i="6"/>
  <c r="C53" i="6"/>
  <c r="J52" i="6"/>
  <c r="H52" i="6" s="1"/>
  <c r="E52" i="6"/>
  <c r="D52" i="6"/>
  <c r="C52" i="6"/>
  <c r="E51" i="6"/>
  <c r="D51" i="6"/>
  <c r="C51" i="6"/>
  <c r="E50" i="6"/>
  <c r="D50" i="6"/>
  <c r="C50" i="6"/>
  <c r="E49" i="6"/>
  <c r="D49" i="6"/>
  <c r="C49" i="6"/>
  <c r="E48" i="6"/>
  <c r="D48" i="6"/>
  <c r="C48" i="6"/>
  <c r="E47" i="6"/>
  <c r="D47" i="6"/>
  <c r="C47" i="6"/>
  <c r="J46" i="6"/>
  <c r="E46" i="6"/>
  <c r="D46" i="6"/>
  <c r="C46" i="6"/>
  <c r="E45" i="6"/>
  <c r="D45" i="6"/>
  <c r="C45" i="6"/>
  <c r="J44" i="6"/>
  <c r="E44" i="6"/>
  <c r="D44" i="6"/>
  <c r="C44" i="6"/>
  <c r="J43" i="6"/>
  <c r="H43" i="6" s="1"/>
  <c r="E43" i="6"/>
  <c r="D43" i="6"/>
  <c r="C43" i="6"/>
  <c r="H42" i="6"/>
  <c r="E42" i="6"/>
  <c r="D42" i="6"/>
  <c r="C42" i="6"/>
  <c r="H41" i="6"/>
  <c r="E41" i="6"/>
  <c r="D41" i="6"/>
  <c r="C41" i="6"/>
  <c r="H40" i="6"/>
  <c r="E40" i="6"/>
  <c r="D40" i="6"/>
  <c r="C40" i="6"/>
  <c r="H39" i="6"/>
  <c r="E39" i="6"/>
  <c r="D39" i="6"/>
  <c r="C39" i="6"/>
  <c r="J38" i="6"/>
  <c r="H38" i="6"/>
  <c r="E38" i="6"/>
  <c r="D38" i="6"/>
  <c r="C38" i="6"/>
  <c r="H37" i="6"/>
  <c r="E37" i="6"/>
  <c r="D37" i="6"/>
  <c r="C37" i="6"/>
  <c r="J36" i="6"/>
  <c r="H36" i="6"/>
  <c r="E36" i="6"/>
  <c r="D36" i="6"/>
  <c r="C36" i="6"/>
  <c r="J35" i="6"/>
  <c r="H35" i="6"/>
  <c r="E35" i="6"/>
  <c r="D35" i="6"/>
  <c r="C35" i="6"/>
  <c r="E34" i="6"/>
  <c r="D34" i="6"/>
  <c r="C34" i="6"/>
  <c r="E33" i="6"/>
  <c r="D33" i="6"/>
  <c r="C33" i="6"/>
  <c r="E32" i="6"/>
  <c r="D32" i="6"/>
  <c r="C32" i="6"/>
  <c r="J31" i="6"/>
  <c r="E31" i="6"/>
  <c r="D31" i="6"/>
  <c r="C31" i="6"/>
  <c r="H30" i="6"/>
  <c r="E30" i="6"/>
  <c r="D30" i="6"/>
  <c r="C30" i="6"/>
  <c r="H29" i="6"/>
  <c r="E29" i="6"/>
  <c r="D29" i="6"/>
  <c r="C29" i="6"/>
  <c r="J28" i="6"/>
  <c r="H28" i="6"/>
  <c r="E28" i="6"/>
  <c r="D28" i="6"/>
  <c r="C28" i="6"/>
  <c r="H27" i="6"/>
  <c r="E27" i="6"/>
  <c r="D27" i="6"/>
  <c r="C27" i="6"/>
  <c r="H26" i="6"/>
  <c r="E26" i="6"/>
  <c r="D26" i="6"/>
  <c r="C26" i="6"/>
  <c r="H25" i="6"/>
  <c r="E25" i="6"/>
  <c r="D25" i="6"/>
  <c r="C25" i="6"/>
  <c r="H24" i="6"/>
  <c r="E24" i="6"/>
  <c r="D24" i="6"/>
  <c r="C24" i="6"/>
  <c r="J23" i="6"/>
  <c r="H23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J18" i="6"/>
  <c r="E18" i="6"/>
  <c r="D18" i="6"/>
  <c r="C18" i="6"/>
  <c r="G12" i="6"/>
  <c r="G10" i="6"/>
  <c r="B10" i="6"/>
  <c r="G9" i="6"/>
  <c r="G11" i="6" s="1"/>
  <c r="B9" i="6"/>
  <c r="C5" i="6"/>
  <c r="C4" i="6"/>
  <c r="B3" i="6"/>
  <c r="B2" i="6"/>
  <c r="M1" i="9" s="1"/>
  <c r="J63" i="5"/>
  <c r="H63" i="5" s="1"/>
  <c r="E63" i="5"/>
  <c r="D63" i="5"/>
  <c r="C63" i="5"/>
  <c r="B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J53" i="5"/>
  <c r="E53" i="5"/>
  <c r="D53" i="5"/>
  <c r="C53" i="5"/>
  <c r="J52" i="5"/>
  <c r="H52" i="5" s="1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J46" i="5"/>
  <c r="E46" i="5"/>
  <c r="D46" i="5"/>
  <c r="C46" i="5"/>
  <c r="E45" i="5"/>
  <c r="D45" i="5"/>
  <c r="C45" i="5"/>
  <c r="J44" i="5"/>
  <c r="E44" i="5"/>
  <c r="D44" i="5"/>
  <c r="C44" i="5"/>
  <c r="J43" i="5"/>
  <c r="H43" i="5" s="1"/>
  <c r="E43" i="5"/>
  <c r="D43" i="5"/>
  <c r="C43" i="5"/>
  <c r="H42" i="5"/>
  <c r="E42" i="5"/>
  <c r="D42" i="5"/>
  <c r="C42" i="5"/>
  <c r="H41" i="5"/>
  <c r="E41" i="5"/>
  <c r="D41" i="5"/>
  <c r="C41" i="5"/>
  <c r="H40" i="5"/>
  <c r="E40" i="5"/>
  <c r="D40" i="5"/>
  <c r="C40" i="5"/>
  <c r="H39" i="5"/>
  <c r="E39" i="5"/>
  <c r="D39" i="5"/>
  <c r="C39" i="5"/>
  <c r="J38" i="5"/>
  <c r="H38" i="5"/>
  <c r="E38" i="5"/>
  <c r="D38" i="5"/>
  <c r="C38" i="5"/>
  <c r="H37" i="5"/>
  <c r="E37" i="5"/>
  <c r="D37" i="5"/>
  <c r="C37" i="5"/>
  <c r="J36" i="5"/>
  <c r="H36" i="5"/>
  <c r="E36" i="5"/>
  <c r="D36" i="5"/>
  <c r="C36" i="5"/>
  <c r="J35" i="5"/>
  <c r="H35" i="5"/>
  <c r="E35" i="5"/>
  <c r="D35" i="5"/>
  <c r="C35" i="5"/>
  <c r="E34" i="5"/>
  <c r="D34" i="5"/>
  <c r="C34" i="5"/>
  <c r="E33" i="5"/>
  <c r="D33" i="5"/>
  <c r="C33" i="5"/>
  <c r="E32" i="5"/>
  <c r="D32" i="5"/>
  <c r="C32" i="5"/>
  <c r="J31" i="5"/>
  <c r="E31" i="5"/>
  <c r="D31" i="5"/>
  <c r="C31" i="5"/>
  <c r="H30" i="5"/>
  <c r="E30" i="5"/>
  <c r="D30" i="5"/>
  <c r="C30" i="5"/>
  <c r="H29" i="5"/>
  <c r="E29" i="5"/>
  <c r="D29" i="5"/>
  <c r="C29" i="5"/>
  <c r="J28" i="5"/>
  <c r="H28" i="5"/>
  <c r="E28" i="5"/>
  <c r="D28" i="5"/>
  <c r="C28" i="5"/>
  <c r="H27" i="5"/>
  <c r="E27" i="5"/>
  <c r="D27" i="5"/>
  <c r="C27" i="5"/>
  <c r="H26" i="5"/>
  <c r="E26" i="5"/>
  <c r="D26" i="5"/>
  <c r="C26" i="5"/>
  <c r="H25" i="5"/>
  <c r="E25" i="5"/>
  <c r="D25" i="5"/>
  <c r="C25" i="5"/>
  <c r="H24" i="5"/>
  <c r="E24" i="5"/>
  <c r="D24" i="5"/>
  <c r="C24" i="5"/>
  <c r="J23" i="5"/>
  <c r="H23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J18" i="5"/>
  <c r="E18" i="5"/>
  <c r="D18" i="5"/>
  <c r="D64" i="5" s="1"/>
  <c r="C18" i="5"/>
  <c r="G12" i="5"/>
  <c r="G10" i="5"/>
  <c r="B10" i="5"/>
  <c r="G9" i="5"/>
  <c r="G11" i="5" s="1"/>
  <c r="B9" i="5"/>
  <c r="C5" i="5"/>
  <c r="C4" i="5"/>
  <c r="B3" i="5"/>
  <c r="B2" i="5"/>
  <c r="K1" i="9" s="1"/>
  <c r="J63" i="4"/>
  <c r="H63" i="4" s="1"/>
  <c r="E63" i="4"/>
  <c r="D63" i="4"/>
  <c r="C63" i="4"/>
  <c r="B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J53" i="4"/>
  <c r="E53" i="4"/>
  <c r="D53" i="4"/>
  <c r="C53" i="4"/>
  <c r="J52" i="4"/>
  <c r="H52" i="4" s="1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J46" i="4"/>
  <c r="E46" i="4"/>
  <c r="D46" i="4"/>
  <c r="C46" i="4"/>
  <c r="E45" i="4"/>
  <c r="D45" i="4"/>
  <c r="C45" i="4"/>
  <c r="F45" i="4" s="1"/>
  <c r="J44" i="4"/>
  <c r="E44" i="4"/>
  <c r="D44" i="4"/>
  <c r="C44" i="4"/>
  <c r="J43" i="4"/>
  <c r="H43" i="4" s="1"/>
  <c r="E43" i="4"/>
  <c r="D43" i="4"/>
  <c r="C43" i="4"/>
  <c r="H42" i="4"/>
  <c r="E42" i="4"/>
  <c r="D42" i="4"/>
  <c r="C42" i="4"/>
  <c r="H41" i="4"/>
  <c r="E41" i="4"/>
  <c r="D41" i="4"/>
  <c r="C41" i="4"/>
  <c r="H40" i="4"/>
  <c r="E40" i="4"/>
  <c r="D40" i="4"/>
  <c r="C40" i="4"/>
  <c r="H39" i="4"/>
  <c r="E39" i="4"/>
  <c r="D39" i="4"/>
  <c r="C39" i="4"/>
  <c r="J38" i="4"/>
  <c r="H38" i="4"/>
  <c r="E38" i="4"/>
  <c r="D38" i="4"/>
  <c r="C38" i="4"/>
  <c r="H37" i="4"/>
  <c r="E37" i="4"/>
  <c r="D37" i="4"/>
  <c r="C37" i="4"/>
  <c r="J36" i="4"/>
  <c r="H36" i="4"/>
  <c r="E36" i="4"/>
  <c r="D36" i="4"/>
  <c r="C36" i="4"/>
  <c r="J35" i="4"/>
  <c r="H35" i="4"/>
  <c r="E35" i="4"/>
  <c r="D35" i="4"/>
  <c r="C35" i="4"/>
  <c r="E34" i="4"/>
  <c r="D34" i="4"/>
  <c r="C34" i="4"/>
  <c r="E33" i="4"/>
  <c r="D33" i="4"/>
  <c r="C33" i="4"/>
  <c r="E32" i="4"/>
  <c r="D32" i="4"/>
  <c r="C32" i="4"/>
  <c r="J31" i="4"/>
  <c r="E31" i="4"/>
  <c r="D31" i="4"/>
  <c r="C31" i="4"/>
  <c r="H30" i="4"/>
  <c r="E30" i="4"/>
  <c r="D30" i="4"/>
  <c r="C30" i="4"/>
  <c r="H29" i="4"/>
  <c r="E29" i="4"/>
  <c r="D29" i="4"/>
  <c r="C29" i="4"/>
  <c r="F29" i="4" s="1"/>
  <c r="J28" i="4"/>
  <c r="H28" i="4"/>
  <c r="E28" i="4"/>
  <c r="D28" i="4"/>
  <c r="F28" i="4" s="1"/>
  <c r="C28" i="4"/>
  <c r="H27" i="4"/>
  <c r="E27" i="4"/>
  <c r="D27" i="4"/>
  <c r="C27" i="4"/>
  <c r="H26" i="4"/>
  <c r="E26" i="4"/>
  <c r="D26" i="4"/>
  <c r="C26" i="4"/>
  <c r="H25" i="4"/>
  <c r="E25" i="4"/>
  <c r="D25" i="4"/>
  <c r="C25" i="4"/>
  <c r="H24" i="4"/>
  <c r="E24" i="4"/>
  <c r="D24" i="4"/>
  <c r="C24" i="4"/>
  <c r="J23" i="4"/>
  <c r="H23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F19" i="4" s="1"/>
  <c r="J18" i="4"/>
  <c r="E18" i="4"/>
  <c r="D18" i="4"/>
  <c r="C18" i="4"/>
  <c r="C64" i="4" s="1"/>
  <c r="G12" i="4"/>
  <c r="G10" i="4"/>
  <c r="B10" i="4"/>
  <c r="G9" i="4"/>
  <c r="G11" i="4" s="1"/>
  <c r="B9" i="4"/>
  <c r="C5" i="4"/>
  <c r="C4" i="4"/>
  <c r="B3" i="4"/>
  <c r="B2" i="4"/>
  <c r="I1" i="9" s="1"/>
  <c r="J63" i="3"/>
  <c r="H63" i="3" s="1"/>
  <c r="E63" i="3"/>
  <c r="D63" i="3"/>
  <c r="C63" i="3"/>
  <c r="B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J53" i="3"/>
  <c r="E53" i="3"/>
  <c r="D53" i="3"/>
  <c r="C53" i="3"/>
  <c r="J52" i="3"/>
  <c r="H52" i="3" s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J46" i="3"/>
  <c r="E46" i="3"/>
  <c r="D46" i="3"/>
  <c r="C46" i="3"/>
  <c r="E45" i="3"/>
  <c r="D45" i="3"/>
  <c r="C45" i="3"/>
  <c r="J44" i="3"/>
  <c r="E44" i="3"/>
  <c r="D44" i="3"/>
  <c r="C44" i="3"/>
  <c r="J43" i="3"/>
  <c r="H43" i="3" s="1"/>
  <c r="E43" i="3"/>
  <c r="D43" i="3"/>
  <c r="C43" i="3"/>
  <c r="H42" i="3"/>
  <c r="E42" i="3"/>
  <c r="D42" i="3"/>
  <c r="C42" i="3"/>
  <c r="H41" i="3"/>
  <c r="E41" i="3"/>
  <c r="D41" i="3"/>
  <c r="C41" i="3"/>
  <c r="H40" i="3"/>
  <c r="E40" i="3"/>
  <c r="D40" i="3"/>
  <c r="C40" i="3"/>
  <c r="H39" i="3"/>
  <c r="E39" i="3"/>
  <c r="D39" i="3"/>
  <c r="C39" i="3"/>
  <c r="J38" i="3"/>
  <c r="H38" i="3"/>
  <c r="E38" i="3"/>
  <c r="D38" i="3"/>
  <c r="C38" i="3"/>
  <c r="H37" i="3"/>
  <c r="E37" i="3"/>
  <c r="D37" i="3"/>
  <c r="C37" i="3"/>
  <c r="J36" i="3"/>
  <c r="H36" i="3"/>
  <c r="E36" i="3"/>
  <c r="D36" i="3"/>
  <c r="C36" i="3"/>
  <c r="J35" i="3"/>
  <c r="H35" i="3"/>
  <c r="E35" i="3"/>
  <c r="D35" i="3"/>
  <c r="C35" i="3"/>
  <c r="E34" i="3"/>
  <c r="D34" i="3"/>
  <c r="C34" i="3"/>
  <c r="E33" i="3"/>
  <c r="D33" i="3"/>
  <c r="C33" i="3"/>
  <c r="E32" i="3"/>
  <c r="D32" i="3"/>
  <c r="C32" i="3"/>
  <c r="J31" i="3"/>
  <c r="E31" i="3"/>
  <c r="D31" i="3"/>
  <c r="C31" i="3"/>
  <c r="H30" i="3"/>
  <c r="E30" i="3"/>
  <c r="D30" i="3"/>
  <c r="C30" i="3"/>
  <c r="H29" i="3"/>
  <c r="E29" i="3"/>
  <c r="D29" i="3"/>
  <c r="C29" i="3"/>
  <c r="J28" i="3"/>
  <c r="H28" i="3"/>
  <c r="E28" i="3"/>
  <c r="D28" i="3"/>
  <c r="C28" i="3"/>
  <c r="H27" i="3"/>
  <c r="E27" i="3"/>
  <c r="D27" i="3"/>
  <c r="C27" i="3"/>
  <c r="H26" i="3"/>
  <c r="E26" i="3"/>
  <c r="D26" i="3"/>
  <c r="C26" i="3"/>
  <c r="H25" i="3"/>
  <c r="E25" i="3"/>
  <c r="D25" i="3"/>
  <c r="C25" i="3"/>
  <c r="H24" i="3"/>
  <c r="E24" i="3"/>
  <c r="D24" i="3"/>
  <c r="C24" i="3"/>
  <c r="J23" i="3"/>
  <c r="H23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J18" i="3"/>
  <c r="E18" i="3"/>
  <c r="D18" i="3"/>
  <c r="C18" i="3"/>
  <c r="G12" i="3"/>
  <c r="G10" i="3"/>
  <c r="B10" i="3"/>
  <c r="G9" i="3"/>
  <c r="G11" i="3" s="1"/>
  <c r="B9" i="3"/>
  <c r="C5" i="3"/>
  <c r="C4" i="3"/>
  <c r="B3" i="3"/>
  <c r="B2" i="3"/>
  <c r="G1" i="9" s="1"/>
  <c r="J63" i="2"/>
  <c r="H63" i="2" s="1"/>
  <c r="E63" i="2"/>
  <c r="D63" i="2"/>
  <c r="C63" i="2"/>
  <c r="B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57" i="2"/>
  <c r="D57" i="2"/>
  <c r="C57" i="2"/>
  <c r="E56" i="2"/>
  <c r="D56" i="2"/>
  <c r="C56" i="2"/>
  <c r="E55" i="2"/>
  <c r="D55" i="2"/>
  <c r="C55" i="2"/>
  <c r="E54" i="2"/>
  <c r="D54" i="2"/>
  <c r="C54" i="2"/>
  <c r="J53" i="2"/>
  <c r="E53" i="2"/>
  <c r="D53" i="2"/>
  <c r="C53" i="2"/>
  <c r="J52" i="2"/>
  <c r="H52" i="2" s="1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J46" i="2"/>
  <c r="E46" i="2"/>
  <c r="D46" i="2"/>
  <c r="C46" i="2"/>
  <c r="E45" i="2"/>
  <c r="D45" i="2"/>
  <c r="C45" i="2"/>
  <c r="J44" i="2"/>
  <c r="E44" i="2"/>
  <c r="D44" i="2"/>
  <c r="C44" i="2"/>
  <c r="J43" i="2"/>
  <c r="H43" i="2" s="1"/>
  <c r="E43" i="2"/>
  <c r="D43" i="2"/>
  <c r="C43" i="2"/>
  <c r="H42" i="2"/>
  <c r="E42" i="2"/>
  <c r="D42" i="2"/>
  <c r="C42" i="2"/>
  <c r="H41" i="2"/>
  <c r="E41" i="2"/>
  <c r="D41" i="2"/>
  <c r="C41" i="2"/>
  <c r="H40" i="2"/>
  <c r="E40" i="2"/>
  <c r="D40" i="2"/>
  <c r="C40" i="2"/>
  <c r="H39" i="2"/>
  <c r="E39" i="2"/>
  <c r="D39" i="2"/>
  <c r="C39" i="2"/>
  <c r="J38" i="2"/>
  <c r="H38" i="2"/>
  <c r="E38" i="2"/>
  <c r="D38" i="2"/>
  <c r="C38" i="2"/>
  <c r="H37" i="2"/>
  <c r="E37" i="2"/>
  <c r="D37" i="2"/>
  <c r="C37" i="2"/>
  <c r="J36" i="2"/>
  <c r="H36" i="2"/>
  <c r="E36" i="2"/>
  <c r="D36" i="2"/>
  <c r="C36" i="2"/>
  <c r="J35" i="2"/>
  <c r="H35" i="2"/>
  <c r="E35" i="2"/>
  <c r="D35" i="2"/>
  <c r="C35" i="2"/>
  <c r="E34" i="2"/>
  <c r="D34" i="2"/>
  <c r="C34" i="2"/>
  <c r="E33" i="2"/>
  <c r="D33" i="2"/>
  <c r="C33" i="2"/>
  <c r="E32" i="2"/>
  <c r="D32" i="2"/>
  <c r="C32" i="2"/>
  <c r="J31" i="2"/>
  <c r="E31" i="2"/>
  <c r="D31" i="2"/>
  <c r="C31" i="2"/>
  <c r="H30" i="2"/>
  <c r="E30" i="2"/>
  <c r="D30" i="2"/>
  <c r="C30" i="2"/>
  <c r="H29" i="2"/>
  <c r="E29" i="2"/>
  <c r="D29" i="2"/>
  <c r="C29" i="2"/>
  <c r="J28" i="2"/>
  <c r="H28" i="2"/>
  <c r="E28" i="2"/>
  <c r="D28" i="2"/>
  <c r="C28" i="2"/>
  <c r="H27" i="2"/>
  <c r="E27" i="2"/>
  <c r="D27" i="2"/>
  <c r="C27" i="2"/>
  <c r="H26" i="2"/>
  <c r="E26" i="2"/>
  <c r="D26" i="2"/>
  <c r="C26" i="2"/>
  <c r="H25" i="2"/>
  <c r="E25" i="2"/>
  <c r="D25" i="2"/>
  <c r="C25" i="2"/>
  <c r="H24" i="2"/>
  <c r="E24" i="2"/>
  <c r="D24" i="2"/>
  <c r="C24" i="2"/>
  <c r="J23" i="2"/>
  <c r="H23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J18" i="2"/>
  <c r="E18" i="2"/>
  <c r="D18" i="2"/>
  <c r="C18" i="2"/>
  <c r="G12" i="2"/>
  <c r="G10" i="2"/>
  <c r="B10" i="2"/>
  <c r="G9" i="2"/>
  <c r="G11" i="2" s="1"/>
  <c r="B9" i="2"/>
  <c r="C5" i="2"/>
  <c r="C4" i="2"/>
  <c r="B3" i="2"/>
  <c r="B2" i="2"/>
  <c r="E1" i="9" s="1"/>
  <c r="E63" i="1"/>
  <c r="D63" i="1"/>
  <c r="C63" i="1"/>
  <c r="B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F54" i="1" s="1"/>
  <c r="E53" i="1"/>
  <c r="D53" i="1"/>
  <c r="C53" i="1"/>
  <c r="E52" i="1"/>
  <c r="D52" i="1"/>
  <c r="C52" i="1"/>
  <c r="F52" i="1" s="1"/>
  <c r="E51" i="1"/>
  <c r="D51" i="1"/>
  <c r="C51" i="1"/>
  <c r="E50" i="1"/>
  <c r="D50" i="1"/>
  <c r="C50" i="1"/>
  <c r="E49" i="1"/>
  <c r="D49" i="1"/>
  <c r="C49" i="1"/>
  <c r="E48" i="1"/>
  <c r="D48" i="1"/>
  <c r="C48" i="1"/>
  <c r="F48" i="1" s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F34" i="1" s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C64" i="1" s="1"/>
  <c r="G12" i="1"/>
  <c r="G10" i="1"/>
  <c r="B10" i="1"/>
  <c r="G9" i="1"/>
  <c r="G11" i="1" s="1"/>
  <c r="B9" i="1"/>
  <c r="C5" i="1"/>
  <c r="C4" i="1"/>
  <c r="B3" i="1"/>
  <c r="B2" i="1"/>
  <c r="C1" i="9" s="1"/>
  <c r="F19" i="1" l="1"/>
  <c r="F25" i="1"/>
  <c r="F33" i="1"/>
  <c r="F53" i="1"/>
  <c r="J64" i="2"/>
  <c r="F49" i="2"/>
  <c r="F55" i="2"/>
  <c r="F59" i="2"/>
  <c r="J64" i="4"/>
  <c r="F20" i="4"/>
  <c r="F22" i="4"/>
  <c r="F23" i="4"/>
  <c r="F24" i="4"/>
  <c r="F37" i="4"/>
  <c r="F38" i="4"/>
  <c r="F44" i="4"/>
  <c r="F55" i="4"/>
  <c r="F59" i="4"/>
  <c r="F63" i="4"/>
  <c r="C64" i="5"/>
  <c r="F19" i="5"/>
  <c r="F23" i="5"/>
  <c r="F34" i="5"/>
  <c r="D64" i="6"/>
  <c r="J64" i="6"/>
  <c r="F22" i="6"/>
  <c r="F25" i="6"/>
  <c r="F26" i="6"/>
  <c r="F28" i="6"/>
  <c r="F33" i="6"/>
  <c r="F37" i="6"/>
  <c r="F46" i="6"/>
  <c r="F47" i="6"/>
  <c r="F51" i="6"/>
  <c r="F57" i="6"/>
  <c r="F61" i="6"/>
  <c r="E64" i="7"/>
  <c r="F24" i="7"/>
  <c r="F29" i="7"/>
  <c r="F30" i="7"/>
  <c r="F31" i="7"/>
  <c r="F32" i="7"/>
  <c r="F39" i="7"/>
  <c r="F40" i="7"/>
  <c r="F52" i="7"/>
  <c r="F53" i="7"/>
  <c r="F54" i="7"/>
  <c r="J64" i="8"/>
  <c r="F19" i="8"/>
  <c r="F49" i="8"/>
  <c r="F57" i="8"/>
  <c r="F18" i="17"/>
  <c r="F20" i="17"/>
  <c r="D21" i="16"/>
  <c r="F20" i="21"/>
  <c r="D21" i="20"/>
  <c r="F19" i="20"/>
  <c r="F18" i="22"/>
  <c r="E21" i="22"/>
  <c r="F20" i="22"/>
  <c r="F18" i="18"/>
  <c r="F19" i="18"/>
  <c r="E21" i="18"/>
  <c r="F18" i="19"/>
  <c r="E21" i="19"/>
  <c r="F22" i="1"/>
  <c r="F24" i="1"/>
  <c r="F26" i="1"/>
  <c r="F35" i="1"/>
  <c r="F62" i="1"/>
  <c r="F34" i="2"/>
  <c r="F21" i="4"/>
  <c r="F26" i="4"/>
  <c r="F31" i="4"/>
  <c r="F32" i="4"/>
  <c r="F34" i="4"/>
  <c r="F39" i="4"/>
  <c r="F41" i="4"/>
  <c r="F42" i="4"/>
  <c r="F43" i="4"/>
  <c r="F49" i="4"/>
  <c r="F39" i="5"/>
  <c r="F41" i="5"/>
  <c r="F43" i="5"/>
  <c r="F44" i="5"/>
  <c r="F45" i="5"/>
  <c r="F48" i="5"/>
  <c r="F52" i="5"/>
  <c r="F41" i="7"/>
  <c r="F42" i="7"/>
  <c r="F19" i="17"/>
  <c r="E21" i="17"/>
  <c r="F19" i="16"/>
  <c r="F18" i="21"/>
  <c r="B21" i="21"/>
  <c r="F18" i="20"/>
  <c r="F20" i="20"/>
  <c r="B21" i="20"/>
  <c r="F19" i="23"/>
  <c r="F20" i="2"/>
  <c r="F35" i="2"/>
  <c r="F44" i="2"/>
  <c r="F52" i="2"/>
  <c r="F53" i="2"/>
  <c r="F60" i="2"/>
  <c r="D64" i="3"/>
  <c r="F36" i="3"/>
  <c r="F46" i="3"/>
  <c r="F47" i="3"/>
  <c r="F48" i="4"/>
  <c r="F52" i="4"/>
  <c r="F53" i="4"/>
  <c r="F54" i="4"/>
  <c r="F58" i="4"/>
  <c r="F62" i="4"/>
  <c r="F22" i="5"/>
  <c r="F24" i="5"/>
  <c r="F25" i="5"/>
  <c r="F26" i="5"/>
  <c r="F28" i="5"/>
  <c r="F33" i="5"/>
  <c r="F37" i="5"/>
  <c r="F46" i="5"/>
  <c r="F47" i="5"/>
  <c r="F55" i="5"/>
  <c r="F59" i="5"/>
  <c r="C64" i="6"/>
  <c r="E64" i="6"/>
  <c r="F19" i="6"/>
  <c r="F21" i="6"/>
  <c r="F23" i="6"/>
  <c r="F24" i="6"/>
  <c r="F29" i="6"/>
  <c r="F31" i="6"/>
  <c r="F32" i="6"/>
  <c r="F39" i="6"/>
  <c r="F41" i="6"/>
  <c r="F43" i="6"/>
  <c r="F44" i="6"/>
  <c r="J64" i="7"/>
  <c r="F35" i="7"/>
  <c r="F49" i="7"/>
  <c r="F51" i="7"/>
  <c r="F24" i="8"/>
  <c r="F26" i="8"/>
  <c r="F32" i="8"/>
  <c r="F36" i="8"/>
  <c r="F38" i="8"/>
  <c r="F62" i="8"/>
  <c r="B21" i="17"/>
  <c r="E21" i="21"/>
  <c r="E21" i="20"/>
  <c r="B21" i="22"/>
  <c r="F19" i="19"/>
  <c r="D64" i="8"/>
  <c r="F21" i="8"/>
  <c r="F25" i="8"/>
  <c r="F37" i="8"/>
  <c r="F55" i="8"/>
  <c r="F61" i="8"/>
  <c r="F18" i="8"/>
  <c r="F23" i="8"/>
  <c r="F29" i="8"/>
  <c r="F30" i="8"/>
  <c r="F35" i="8"/>
  <c r="F40" i="8"/>
  <c r="F46" i="8"/>
  <c r="F47" i="8"/>
  <c r="F51" i="8"/>
  <c r="F58" i="8"/>
  <c r="F63" i="8"/>
  <c r="E64" i="8"/>
  <c r="F48" i="8"/>
  <c r="F52" i="8"/>
  <c r="F53" i="8"/>
  <c r="F54" i="8"/>
  <c r="F59" i="8"/>
  <c r="G11" i="7"/>
  <c r="C64" i="7"/>
  <c r="F34" i="7"/>
  <c r="F36" i="7"/>
  <c r="F50" i="7"/>
  <c r="F20" i="7"/>
  <c r="F21" i="7"/>
  <c r="F22" i="7"/>
  <c r="F62" i="7"/>
  <c r="D64" i="7"/>
  <c r="F25" i="7"/>
  <c r="F26" i="7"/>
  <c r="F27" i="7"/>
  <c r="F28" i="7"/>
  <c r="F33" i="7"/>
  <c r="F37" i="7"/>
  <c r="F55" i="7"/>
  <c r="F57" i="7"/>
  <c r="F59" i="7"/>
  <c r="F61" i="7"/>
  <c r="F63" i="7"/>
  <c r="F20" i="6"/>
  <c r="F30" i="6"/>
  <c r="F34" i="6"/>
  <c r="F40" i="6"/>
  <c r="F42" i="6"/>
  <c r="F48" i="6"/>
  <c r="F52" i="6"/>
  <c r="F53" i="6"/>
  <c r="F54" i="6"/>
  <c r="F58" i="6"/>
  <c r="F62" i="6"/>
  <c r="F18" i="6"/>
  <c r="F27" i="6"/>
  <c r="F36" i="6"/>
  <c r="F45" i="6"/>
  <c r="F50" i="6"/>
  <c r="F56" i="6"/>
  <c r="F60" i="6"/>
  <c r="F35" i="6"/>
  <c r="F38" i="6"/>
  <c r="F49" i="6"/>
  <c r="F55" i="6"/>
  <c r="F59" i="6"/>
  <c r="F63" i="6"/>
  <c r="E64" i="5"/>
  <c r="F21" i="5"/>
  <c r="F29" i="5"/>
  <c r="F30" i="5"/>
  <c r="F31" i="5"/>
  <c r="F32" i="5"/>
  <c r="F53" i="5"/>
  <c r="F58" i="5"/>
  <c r="F62" i="5"/>
  <c r="F51" i="5"/>
  <c r="J64" i="5"/>
  <c r="F20" i="5"/>
  <c r="F63" i="5"/>
  <c r="D64" i="4"/>
  <c r="F50" i="4"/>
  <c r="F56" i="4"/>
  <c r="F60" i="4"/>
  <c r="F18" i="4"/>
  <c r="F27" i="4"/>
  <c r="F33" i="4"/>
  <c r="F36" i="4"/>
  <c r="F40" i="4"/>
  <c r="E64" i="4"/>
  <c r="F25" i="4"/>
  <c r="F30" i="4"/>
  <c r="F35" i="4"/>
  <c r="F46" i="4"/>
  <c r="F47" i="4"/>
  <c r="F51" i="4"/>
  <c r="F57" i="4"/>
  <c r="F61" i="4"/>
  <c r="E64" i="3"/>
  <c r="F25" i="3"/>
  <c r="F27" i="3"/>
  <c r="F29" i="3"/>
  <c r="F31" i="3"/>
  <c r="F32" i="3"/>
  <c r="F33" i="3"/>
  <c r="F37" i="3"/>
  <c r="F39" i="3"/>
  <c r="F41" i="3"/>
  <c r="F42" i="3"/>
  <c r="F43" i="3"/>
  <c r="F44" i="3"/>
  <c r="F45" i="3"/>
  <c r="F18" i="3"/>
  <c r="F19" i="3"/>
  <c r="F23" i="3"/>
  <c r="F34" i="3"/>
  <c r="F48" i="3"/>
  <c r="F52" i="3"/>
  <c r="F53" i="3"/>
  <c r="F54" i="3"/>
  <c r="F62" i="3"/>
  <c r="J64" i="3"/>
  <c r="F22" i="3"/>
  <c r="F49" i="3"/>
  <c r="F55" i="3"/>
  <c r="F59" i="3"/>
  <c r="F63" i="3"/>
  <c r="F45" i="2"/>
  <c r="F56" i="2"/>
  <c r="F49" i="1"/>
  <c r="F55" i="1"/>
  <c r="F63" i="1"/>
  <c r="E64" i="1"/>
  <c r="F21" i="1"/>
  <c r="F29" i="1"/>
  <c r="F30" i="1"/>
  <c r="F31" i="1"/>
  <c r="F32" i="1"/>
  <c r="F39" i="1"/>
  <c r="F41" i="1"/>
  <c r="F42" i="1"/>
  <c r="F43" i="1"/>
  <c r="F44" i="1"/>
  <c r="F45" i="1"/>
  <c r="F50" i="1"/>
  <c r="F56" i="1"/>
  <c r="F58" i="1"/>
  <c r="F60" i="1"/>
  <c r="D64" i="1"/>
  <c r="F23" i="1"/>
  <c r="F28" i="1"/>
  <c r="F36" i="1"/>
  <c r="F38" i="1"/>
  <c r="F47" i="1"/>
  <c r="F51" i="1"/>
  <c r="F61" i="1"/>
  <c r="F19" i="7"/>
  <c r="F43" i="7"/>
  <c r="F48" i="7"/>
  <c r="F47" i="7"/>
  <c r="F58" i="7"/>
  <c r="F23" i="7"/>
  <c r="F38" i="7"/>
  <c r="F44" i="7"/>
  <c r="F45" i="7"/>
  <c r="F56" i="7"/>
  <c r="F60" i="7"/>
  <c r="F35" i="5"/>
  <c r="F38" i="5"/>
  <c r="F49" i="5"/>
  <c r="F40" i="5"/>
  <c r="F42" i="5"/>
  <c r="F54" i="5"/>
  <c r="F57" i="5"/>
  <c r="F61" i="5"/>
  <c r="F18" i="5"/>
  <c r="F27" i="5"/>
  <c r="F36" i="5"/>
  <c r="F50" i="5"/>
  <c r="F56" i="5"/>
  <c r="F60" i="5"/>
  <c r="F35" i="3"/>
  <c r="F30" i="3"/>
  <c r="F40" i="3"/>
  <c r="F50" i="3"/>
  <c r="F56" i="3"/>
  <c r="F60" i="3"/>
  <c r="F21" i="3"/>
  <c r="F51" i="3"/>
  <c r="F57" i="3"/>
  <c r="F61" i="3"/>
  <c r="F20" i="3"/>
  <c r="F24" i="3"/>
  <c r="F26" i="3"/>
  <c r="F28" i="3"/>
  <c r="F38" i="3"/>
  <c r="F58" i="3"/>
  <c r="F18" i="2"/>
  <c r="F19" i="2"/>
  <c r="F23" i="2"/>
  <c r="F32" i="2"/>
  <c r="F36" i="2"/>
  <c r="F41" i="2"/>
  <c r="F63" i="2"/>
  <c r="E64" i="2"/>
  <c r="F21" i="2"/>
  <c r="F29" i="2"/>
  <c r="F30" i="2"/>
  <c r="F31" i="2"/>
  <c r="F38" i="2"/>
  <c r="F39" i="2"/>
  <c r="F40" i="2"/>
  <c r="F42" i="2"/>
  <c r="F43" i="2"/>
  <c r="F46" i="2"/>
  <c r="F47" i="2"/>
  <c r="F51" i="2"/>
  <c r="F57" i="2"/>
  <c r="F61" i="2"/>
  <c r="D64" i="2"/>
  <c r="F22" i="2"/>
  <c r="F24" i="2"/>
  <c r="F25" i="2"/>
  <c r="F26" i="2"/>
  <c r="F27" i="2"/>
  <c r="F28" i="2"/>
  <c r="F33" i="2"/>
  <c r="F37" i="2"/>
  <c r="F48" i="2"/>
  <c r="F50" i="2"/>
  <c r="F54" i="2"/>
  <c r="F58" i="2"/>
  <c r="F62" i="2"/>
  <c r="F20" i="1"/>
  <c r="F37" i="1"/>
  <c r="F27" i="1"/>
  <c r="F40" i="1"/>
  <c r="F57" i="1"/>
  <c r="F18" i="1"/>
  <c r="F46" i="1"/>
  <c r="F59" i="1"/>
  <c r="B64" i="1"/>
  <c r="F20" i="19"/>
  <c r="C21" i="19"/>
  <c r="F20" i="18"/>
  <c r="D21" i="18"/>
  <c r="C21" i="18"/>
  <c r="C21" i="22"/>
  <c r="F21" i="22" s="1"/>
  <c r="G20" i="22" s="1"/>
  <c r="F21" i="23"/>
  <c r="G19" i="23" s="1"/>
  <c r="C22" i="23"/>
  <c r="F20" i="23"/>
  <c r="G20" i="23" s="1"/>
  <c r="F18" i="23"/>
  <c r="C21" i="20"/>
  <c r="F21" i="20" s="1"/>
  <c r="G19" i="20" s="1"/>
  <c r="C21" i="21"/>
  <c r="F21" i="21" s="1"/>
  <c r="G19" i="21" s="1"/>
  <c r="F20" i="16"/>
  <c r="C21" i="16"/>
  <c r="F21" i="17"/>
  <c r="C21" i="17"/>
  <c r="B64" i="8"/>
  <c r="B64" i="7"/>
  <c r="F18" i="7"/>
  <c r="B64" i="6"/>
  <c r="B64" i="5"/>
  <c r="B64" i="4"/>
  <c r="C64" i="3"/>
  <c r="B64" i="3"/>
  <c r="C64" i="2"/>
  <c r="B64" i="2"/>
  <c r="F64" i="1" l="1"/>
  <c r="D22" i="23"/>
  <c r="G18" i="23"/>
  <c r="E22" i="23"/>
  <c r="B22" i="23"/>
  <c r="G23" i="1"/>
  <c r="G53" i="1"/>
  <c r="G40" i="1"/>
  <c r="G61" i="1"/>
  <c r="G60" i="1"/>
  <c r="G44" i="1"/>
  <c r="G38" i="1"/>
  <c r="G55" i="1"/>
  <c r="G31" i="1"/>
  <c r="G24" i="1"/>
  <c r="G62" i="1"/>
  <c r="G59" i="1"/>
  <c r="G22" i="1"/>
  <c r="G25" i="1"/>
  <c r="G35" i="1"/>
  <c r="I35" i="1" s="1"/>
  <c r="G57" i="1"/>
  <c r="G18" i="1"/>
  <c r="G37" i="1"/>
  <c r="G46" i="1"/>
  <c r="G32" i="1"/>
  <c r="B65" i="1"/>
  <c r="G48" i="1"/>
  <c r="G29" i="1"/>
  <c r="G63" i="1"/>
  <c r="I63" i="1" s="1"/>
  <c r="G39" i="1"/>
  <c r="G20" i="1"/>
  <c r="G41" i="1"/>
  <c r="G50" i="1"/>
  <c r="G33" i="1"/>
  <c r="G51" i="1"/>
  <c r="G36" i="1"/>
  <c r="G19" i="1"/>
  <c r="G45" i="1"/>
  <c r="G26" i="1"/>
  <c r="G58" i="1"/>
  <c r="F21" i="19"/>
  <c r="C22" i="19" s="1"/>
  <c r="C22" i="18"/>
  <c r="F21" i="18"/>
  <c r="D22" i="18" s="1"/>
  <c r="G18" i="22"/>
  <c r="B22" i="22"/>
  <c r="E22" i="22"/>
  <c r="D22" i="22"/>
  <c r="G21" i="22"/>
  <c r="F22" i="22"/>
  <c r="C22" i="22"/>
  <c r="G19" i="22"/>
  <c r="G21" i="23"/>
  <c r="F22" i="23"/>
  <c r="G21" i="20"/>
  <c r="F22" i="20"/>
  <c r="B22" i="20"/>
  <c r="D22" i="20"/>
  <c r="C22" i="20"/>
  <c r="E22" i="20"/>
  <c r="G18" i="20"/>
  <c r="G20" i="20"/>
  <c r="G21" i="21"/>
  <c r="F22" i="21"/>
  <c r="B22" i="21"/>
  <c r="D22" i="21"/>
  <c r="C22" i="21"/>
  <c r="E22" i="21"/>
  <c r="G18" i="21"/>
  <c r="G20" i="21"/>
  <c r="F21" i="16"/>
  <c r="C22" i="16" s="1"/>
  <c r="G21" i="17"/>
  <c r="F22" i="17"/>
  <c r="D22" i="17"/>
  <c r="G18" i="17"/>
  <c r="G19" i="17"/>
  <c r="G20" i="17"/>
  <c r="B22" i="17"/>
  <c r="C22" i="17"/>
  <c r="E22" i="17"/>
  <c r="F64" i="8"/>
  <c r="B65" i="8" s="1"/>
  <c r="F64" i="7"/>
  <c r="B65" i="7"/>
  <c r="G18" i="7"/>
  <c r="F64" i="6"/>
  <c r="B65" i="6" s="1"/>
  <c r="F64" i="5"/>
  <c r="B65" i="5" s="1"/>
  <c r="F64" i="4"/>
  <c r="B65" i="4" s="1"/>
  <c r="F64" i="3"/>
  <c r="C65" i="3" s="1"/>
  <c r="F64" i="2"/>
  <c r="C65" i="2" s="1"/>
  <c r="F65" i="1"/>
  <c r="G64" i="1"/>
  <c r="I36" i="1"/>
  <c r="G47" i="1"/>
  <c r="G28" i="1"/>
  <c r="G56" i="1"/>
  <c r="G43" i="1"/>
  <c r="I43" i="1" s="1"/>
  <c r="G21" i="1"/>
  <c r="G54" i="1"/>
  <c r="G42" i="1"/>
  <c r="G27" i="1"/>
  <c r="C65" i="1"/>
  <c r="G49" i="1"/>
  <c r="G34" i="1"/>
  <c r="D65" i="1"/>
  <c r="G52" i="1"/>
  <c r="I52" i="1" s="1"/>
  <c r="G30" i="1"/>
  <c r="E65" i="1"/>
  <c r="I23" i="1"/>
  <c r="B2" i="9"/>
  <c r="B2" i="15"/>
  <c r="G20" i="16" l="1"/>
  <c r="I44" i="1"/>
  <c r="I46" i="1"/>
  <c r="I38" i="1"/>
  <c r="G21" i="19"/>
  <c r="F22" i="19"/>
  <c r="G19" i="19"/>
  <c r="G18" i="19"/>
  <c r="E22" i="19"/>
  <c r="D22" i="19"/>
  <c r="B22" i="19"/>
  <c r="G20" i="19"/>
  <c r="G21" i="18"/>
  <c r="F22" i="18"/>
  <c r="G18" i="18"/>
  <c r="B22" i="18"/>
  <c r="G19" i="18"/>
  <c r="E22" i="18"/>
  <c r="G20" i="18"/>
  <c r="G21" i="16"/>
  <c r="F22" i="16"/>
  <c r="D22" i="16"/>
  <c r="B22" i="16"/>
  <c r="G19" i="16"/>
  <c r="G18" i="16"/>
  <c r="E22" i="16"/>
  <c r="F65" i="8"/>
  <c r="G64" i="8"/>
  <c r="G56" i="8"/>
  <c r="G24" i="8"/>
  <c r="G29" i="8"/>
  <c r="G33" i="8"/>
  <c r="G47" i="8"/>
  <c r="G20" i="8"/>
  <c r="G32" i="8"/>
  <c r="G53" i="8"/>
  <c r="G26" i="8"/>
  <c r="G46" i="8"/>
  <c r="G25" i="8"/>
  <c r="G39" i="8"/>
  <c r="G18" i="8"/>
  <c r="G22" i="8"/>
  <c r="G43" i="8"/>
  <c r="I43" i="8" s="1"/>
  <c r="G57" i="8"/>
  <c r="G58" i="8"/>
  <c r="G48" i="8"/>
  <c r="G35" i="8"/>
  <c r="I35" i="8" s="1"/>
  <c r="G34" i="8"/>
  <c r="C65" i="8"/>
  <c r="G62" i="8"/>
  <c r="G41" i="8"/>
  <c r="G51" i="8"/>
  <c r="G49" i="8"/>
  <c r="G44" i="8"/>
  <c r="G38" i="8"/>
  <c r="E65" i="8"/>
  <c r="G28" i="8"/>
  <c r="G52" i="8"/>
  <c r="I52" i="8" s="1"/>
  <c r="G23" i="8"/>
  <c r="G40" i="8"/>
  <c r="G21" i="8"/>
  <c r="G37" i="8"/>
  <c r="G61" i="8"/>
  <c r="G19" i="8"/>
  <c r="G42" i="8"/>
  <c r="G50" i="8"/>
  <c r="G30" i="8"/>
  <c r="G27" i="8"/>
  <c r="G59" i="8"/>
  <c r="D65" i="8"/>
  <c r="G55" i="8"/>
  <c r="G36" i="8"/>
  <c r="G45" i="8"/>
  <c r="G54" i="8"/>
  <c r="G31" i="8"/>
  <c r="G63" i="8"/>
  <c r="I63" i="8" s="1"/>
  <c r="G60" i="8"/>
  <c r="F65" i="7"/>
  <c r="G64" i="7"/>
  <c r="G23" i="7"/>
  <c r="G39" i="7"/>
  <c r="G55" i="7"/>
  <c r="G63" i="7"/>
  <c r="I63" i="7" s="1"/>
  <c r="G29" i="7"/>
  <c r="G40" i="7"/>
  <c r="G56" i="7"/>
  <c r="G22" i="7"/>
  <c r="G43" i="7"/>
  <c r="I43" i="7" s="1"/>
  <c r="G21" i="7"/>
  <c r="G37" i="7"/>
  <c r="G50" i="7"/>
  <c r="G32" i="7"/>
  <c r="G52" i="7"/>
  <c r="I52" i="7" s="1"/>
  <c r="G61" i="7"/>
  <c r="G25" i="7"/>
  <c r="G38" i="7"/>
  <c r="G51" i="7"/>
  <c r="G19" i="7"/>
  <c r="G33" i="7"/>
  <c r="C65" i="7"/>
  <c r="G35" i="7"/>
  <c r="I35" i="7" s="1"/>
  <c r="G47" i="7"/>
  <c r="G58" i="7"/>
  <c r="G31" i="7"/>
  <c r="G49" i="7"/>
  <c r="G59" i="7"/>
  <c r="G20" i="7"/>
  <c r="G36" i="7"/>
  <c r="G45" i="7"/>
  <c r="D65" i="7"/>
  <c r="G30" i="7"/>
  <c r="G62" i="7"/>
  <c r="G26" i="7"/>
  <c r="G46" i="7"/>
  <c r="G54" i="7"/>
  <c r="G27" i="7"/>
  <c r="G42" i="7"/>
  <c r="G57" i="7"/>
  <c r="E65" i="7"/>
  <c r="G34" i="7"/>
  <c r="G44" i="7"/>
  <c r="G60" i="7"/>
  <c r="G28" i="7"/>
  <c r="I28" i="7" s="1"/>
  <c r="G48" i="7"/>
  <c r="G24" i="7"/>
  <c r="G41" i="7"/>
  <c r="G53" i="7"/>
  <c r="F65" i="6"/>
  <c r="G64" i="6"/>
  <c r="E65" i="6"/>
  <c r="G35" i="6"/>
  <c r="I35" i="6" s="1"/>
  <c r="G59" i="6"/>
  <c r="G26" i="6"/>
  <c r="G42" i="6"/>
  <c r="G54" i="6"/>
  <c r="G19" i="6"/>
  <c r="G37" i="6"/>
  <c r="G57" i="6"/>
  <c r="G27" i="6"/>
  <c r="G36" i="6"/>
  <c r="G44" i="6"/>
  <c r="G60" i="6"/>
  <c r="G28" i="6"/>
  <c r="G55" i="6"/>
  <c r="G20" i="6"/>
  <c r="G40" i="6"/>
  <c r="G53" i="6"/>
  <c r="C65" i="6"/>
  <c r="G33" i="6"/>
  <c r="G51" i="6"/>
  <c r="G21" i="6"/>
  <c r="G32" i="6"/>
  <c r="G43" i="6"/>
  <c r="I43" i="6" s="1"/>
  <c r="G56" i="6"/>
  <c r="G25" i="6"/>
  <c r="G49" i="6"/>
  <c r="D65" i="6"/>
  <c r="G34" i="6"/>
  <c r="G52" i="6"/>
  <c r="I52" i="6" s="1"/>
  <c r="G62" i="6"/>
  <c r="G24" i="6"/>
  <c r="G47" i="6"/>
  <c r="G18" i="6"/>
  <c r="G31" i="6"/>
  <c r="G41" i="6"/>
  <c r="G50" i="6"/>
  <c r="G23" i="6"/>
  <c r="I23" i="6" s="1"/>
  <c r="G38" i="6"/>
  <c r="G63" i="6"/>
  <c r="I63" i="6" s="1"/>
  <c r="G30" i="6"/>
  <c r="G48" i="6"/>
  <c r="G58" i="6"/>
  <c r="G22" i="6"/>
  <c r="G46" i="6"/>
  <c r="G61" i="6"/>
  <c r="G29" i="6"/>
  <c r="G39" i="6"/>
  <c r="G45" i="6"/>
  <c r="F65" i="5"/>
  <c r="G64" i="5"/>
  <c r="E65" i="5"/>
  <c r="G30" i="5"/>
  <c r="G49" i="5"/>
  <c r="D65" i="5"/>
  <c r="G34" i="5"/>
  <c r="G52" i="5"/>
  <c r="I52" i="5" s="1"/>
  <c r="G62" i="5"/>
  <c r="G24" i="5"/>
  <c r="G47" i="5"/>
  <c r="G18" i="5"/>
  <c r="G36" i="5"/>
  <c r="G44" i="5"/>
  <c r="G60" i="5"/>
  <c r="G28" i="5"/>
  <c r="G38" i="5"/>
  <c r="G63" i="5"/>
  <c r="I63" i="5" s="1"/>
  <c r="G31" i="5"/>
  <c r="G48" i="5"/>
  <c r="G58" i="5"/>
  <c r="G22" i="5"/>
  <c r="G46" i="5"/>
  <c r="G61" i="5"/>
  <c r="G33" i="5"/>
  <c r="G43" i="5"/>
  <c r="I43" i="5" s="1"/>
  <c r="G56" i="5"/>
  <c r="G25" i="5"/>
  <c r="G35" i="5"/>
  <c r="I35" i="5" s="1"/>
  <c r="G59" i="5"/>
  <c r="G26" i="5"/>
  <c r="G42" i="5"/>
  <c r="G54" i="5"/>
  <c r="G19" i="5"/>
  <c r="G37" i="5"/>
  <c r="G57" i="5"/>
  <c r="G27" i="5"/>
  <c r="G41" i="5"/>
  <c r="G50" i="5"/>
  <c r="G23" i="5"/>
  <c r="G32" i="5"/>
  <c r="G55" i="5"/>
  <c r="G20" i="5"/>
  <c r="G40" i="5"/>
  <c r="G53" i="5"/>
  <c r="C65" i="5"/>
  <c r="G29" i="5"/>
  <c r="G51" i="5"/>
  <c r="G21" i="5"/>
  <c r="G39" i="5"/>
  <c r="G45" i="5"/>
  <c r="F65" i="4"/>
  <c r="G64" i="4"/>
  <c r="C65" i="4"/>
  <c r="G29" i="4"/>
  <c r="G49" i="4"/>
  <c r="G18" i="4"/>
  <c r="G36" i="4"/>
  <c r="G48" i="4"/>
  <c r="G58" i="4"/>
  <c r="G25" i="4"/>
  <c r="G35" i="4"/>
  <c r="I35" i="4" s="1"/>
  <c r="G51" i="4"/>
  <c r="G20" i="4"/>
  <c r="G39" i="4"/>
  <c r="G60" i="4"/>
  <c r="G24" i="4"/>
  <c r="G44" i="4"/>
  <c r="G63" i="4"/>
  <c r="I63" i="4" s="1"/>
  <c r="G33" i="4"/>
  <c r="G43" i="4"/>
  <c r="I43" i="4" s="1"/>
  <c r="G54" i="4"/>
  <c r="G23" i="4"/>
  <c r="G32" i="4"/>
  <c r="G47" i="4"/>
  <c r="D65" i="4"/>
  <c r="G34" i="4"/>
  <c r="G56" i="4"/>
  <c r="G22" i="4"/>
  <c r="G42" i="4"/>
  <c r="G59" i="4"/>
  <c r="G27" i="4"/>
  <c r="G40" i="4"/>
  <c r="G53" i="4"/>
  <c r="E65" i="4"/>
  <c r="G30" i="4"/>
  <c r="G46" i="4"/>
  <c r="G61" i="4"/>
  <c r="G31" i="4"/>
  <c r="G50" i="4"/>
  <c r="G19" i="4"/>
  <c r="G37" i="4"/>
  <c r="G55" i="4"/>
  <c r="G21" i="4"/>
  <c r="G38" i="4"/>
  <c r="G52" i="4"/>
  <c r="I52" i="4" s="1"/>
  <c r="G62" i="4"/>
  <c r="G28" i="4"/>
  <c r="I28" i="4" s="1"/>
  <c r="G41" i="4"/>
  <c r="G57" i="4"/>
  <c r="G26" i="4"/>
  <c r="G45" i="4"/>
  <c r="F65" i="3"/>
  <c r="G64" i="3"/>
  <c r="G24" i="3"/>
  <c r="G38" i="3"/>
  <c r="G54" i="3"/>
  <c r="G35" i="3"/>
  <c r="I35" i="3" s="1"/>
  <c r="G30" i="3"/>
  <c r="G50" i="3"/>
  <c r="G63" i="3"/>
  <c r="I63" i="3" s="1"/>
  <c r="G27" i="3"/>
  <c r="G42" i="3"/>
  <c r="G18" i="3"/>
  <c r="G20" i="3"/>
  <c r="G36" i="3"/>
  <c r="I36" i="3" s="1"/>
  <c r="G53" i="3"/>
  <c r="G23" i="3"/>
  <c r="G22" i="3"/>
  <c r="G45" i="3"/>
  <c r="G19" i="3"/>
  <c r="G25" i="3"/>
  <c r="G32" i="3"/>
  <c r="G41" i="3"/>
  <c r="G47" i="3"/>
  <c r="D65" i="3"/>
  <c r="G28" i="3"/>
  <c r="G52" i="3"/>
  <c r="I52" i="3" s="1"/>
  <c r="G62" i="3"/>
  <c r="G59" i="3"/>
  <c r="G44" i="3"/>
  <c r="G60" i="3"/>
  <c r="G21" i="3"/>
  <c r="G31" i="3"/>
  <c r="G39" i="3"/>
  <c r="G46" i="3"/>
  <c r="G61" i="3"/>
  <c r="G55" i="3"/>
  <c r="G26" i="3"/>
  <c r="G48" i="3"/>
  <c r="G58" i="3"/>
  <c r="G49" i="3"/>
  <c r="G40" i="3"/>
  <c r="G56" i="3"/>
  <c r="E65" i="3"/>
  <c r="G29" i="3"/>
  <c r="G37" i="3"/>
  <c r="G43" i="3"/>
  <c r="I43" i="3" s="1"/>
  <c r="G57" i="3"/>
  <c r="G34" i="3"/>
  <c r="G33" i="3"/>
  <c r="G51" i="3"/>
  <c r="B65" i="3"/>
  <c r="F65" i="2"/>
  <c r="G64" i="2"/>
  <c r="G63" i="2"/>
  <c r="I63" i="2" s="1"/>
  <c r="G45" i="2"/>
  <c r="G60" i="2"/>
  <c r="G30" i="2"/>
  <c r="G39" i="2"/>
  <c r="G46" i="2"/>
  <c r="G61" i="2"/>
  <c r="G25" i="2"/>
  <c r="G33" i="2"/>
  <c r="G18" i="2"/>
  <c r="G36" i="2"/>
  <c r="G59" i="2"/>
  <c r="G44" i="2"/>
  <c r="G56" i="2"/>
  <c r="G29" i="2"/>
  <c r="G38" i="2"/>
  <c r="G43" i="2"/>
  <c r="I43" i="2" s="1"/>
  <c r="G57" i="2"/>
  <c r="G24" i="2"/>
  <c r="G28" i="2"/>
  <c r="G50" i="2"/>
  <c r="G32" i="2"/>
  <c r="G55" i="2"/>
  <c r="G35" i="2"/>
  <c r="I35" i="2" s="1"/>
  <c r="G53" i="2"/>
  <c r="G21" i="2"/>
  <c r="G34" i="2"/>
  <c r="G42" i="2"/>
  <c r="G51" i="2"/>
  <c r="G22" i="2"/>
  <c r="G27" i="2"/>
  <c r="G48" i="2"/>
  <c r="G62" i="2"/>
  <c r="G23" i="2"/>
  <c r="G49" i="2"/>
  <c r="G20" i="2"/>
  <c r="G52" i="2"/>
  <c r="I52" i="2" s="1"/>
  <c r="E65" i="2"/>
  <c r="G31" i="2"/>
  <c r="G40" i="2"/>
  <c r="G47" i="2"/>
  <c r="D65" i="2"/>
  <c r="G26" i="2"/>
  <c r="G37" i="2"/>
  <c r="G58" i="2"/>
  <c r="G19" i="2"/>
  <c r="G41" i="2"/>
  <c r="G54" i="2"/>
  <c r="B65" i="2"/>
  <c r="I18" i="1"/>
  <c r="I28" i="1"/>
  <c r="I31" i="1"/>
  <c r="I53" i="1"/>
  <c r="F23" i="9"/>
  <c r="F61" i="9" s="1"/>
  <c r="J23" i="9"/>
  <c r="J61" i="9" s="1"/>
  <c r="N23" i="9"/>
  <c r="R23" i="9"/>
  <c r="R61" i="9" s="1"/>
  <c r="H23" i="9"/>
  <c r="H61" i="9" s="1"/>
  <c r="L23" i="9"/>
  <c r="L61" i="9" s="1"/>
  <c r="P23" i="9"/>
  <c r="H12" i="9"/>
  <c r="L12" i="9"/>
  <c r="P12" i="9"/>
  <c r="H13" i="9"/>
  <c r="L13" i="9"/>
  <c r="P13" i="9"/>
  <c r="H14" i="9"/>
  <c r="L14" i="9"/>
  <c r="P14" i="9"/>
  <c r="H11" i="9"/>
  <c r="L11" i="9"/>
  <c r="P11" i="9"/>
  <c r="H15" i="9"/>
  <c r="L15" i="9"/>
  <c r="P15" i="9"/>
  <c r="H16" i="9"/>
  <c r="L16" i="9"/>
  <c r="P16" i="9"/>
  <c r="H17" i="9"/>
  <c r="L17" i="9"/>
  <c r="P17" i="9"/>
  <c r="H18" i="9"/>
  <c r="L18" i="9"/>
  <c r="P18" i="9"/>
  <c r="H27" i="9"/>
  <c r="L27" i="9"/>
  <c r="P27" i="9"/>
  <c r="H28" i="9"/>
  <c r="L28" i="9"/>
  <c r="P28" i="9"/>
  <c r="F12" i="9"/>
  <c r="J12" i="9"/>
  <c r="N12" i="9"/>
  <c r="R12" i="9"/>
  <c r="F13" i="9"/>
  <c r="J13" i="9"/>
  <c r="N13" i="9"/>
  <c r="R13" i="9"/>
  <c r="F14" i="9"/>
  <c r="J14" i="9"/>
  <c r="N14" i="9"/>
  <c r="R14" i="9"/>
  <c r="F11" i="9"/>
  <c r="J11" i="9"/>
  <c r="N11" i="9"/>
  <c r="R11" i="9"/>
  <c r="F15" i="9"/>
  <c r="J15" i="9"/>
  <c r="N15" i="9"/>
  <c r="R15" i="9"/>
  <c r="F16" i="9"/>
  <c r="J16" i="9"/>
  <c r="N16" i="9"/>
  <c r="R16" i="9"/>
  <c r="F17" i="9"/>
  <c r="J17" i="9"/>
  <c r="N17" i="9"/>
  <c r="R17" i="9"/>
  <c r="F18" i="9"/>
  <c r="J18" i="9"/>
  <c r="N18" i="9"/>
  <c r="R18" i="9"/>
  <c r="F27" i="9"/>
  <c r="J27" i="9"/>
  <c r="N27" i="9"/>
  <c r="R27" i="9"/>
  <c r="F28" i="9"/>
  <c r="J28" i="9"/>
  <c r="N28" i="9"/>
  <c r="R28" i="9"/>
  <c r="F24" i="9"/>
  <c r="H24" i="9"/>
  <c r="J24" i="9"/>
  <c r="L24" i="9"/>
  <c r="N24" i="9"/>
  <c r="P24" i="9"/>
  <c r="R24" i="9"/>
  <c r="F25" i="9"/>
  <c r="H25" i="9"/>
  <c r="J25" i="9"/>
  <c r="L25" i="9"/>
  <c r="N25" i="9"/>
  <c r="P25" i="9"/>
  <c r="R25" i="9"/>
  <c r="F26" i="9"/>
  <c r="H26" i="9"/>
  <c r="J26" i="9"/>
  <c r="L26" i="9"/>
  <c r="N26" i="9"/>
  <c r="P26" i="9"/>
  <c r="R26" i="9"/>
  <c r="F29" i="9"/>
  <c r="H29" i="9"/>
  <c r="J29" i="9"/>
  <c r="L29" i="9"/>
  <c r="N29" i="9"/>
  <c r="P29" i="9"/>
  <c r="R29" i="9"/>
  <c r="F30" i="9"/>
  <c r="H30" i="9"/>
  <c r="J30" i="9"/>
  <c r="L30" i="9"/>
  <c r="N30" i="9"/>
  <c r="P30" i="9"/>
  <c r="R30" i="9"/>
  <c r="F31" i="9"/>
  <c r="H31" i="9"/>
  <c r="H64" i="9" s="1"/>
  <c r="J31" i="9"/>
  <c r="J64" i="9" s="1"/>
  <c r="L31" i="9"/>
  <c r="L64" i="9" s="1"/>
  <c r="N31" i="9"/>
  <c r="N64" i="9" s="1"/>
  <c r="P31" i="9"/>
  <c r="P64" i="9" s="1"/>
  <c r="R31" i="9"/>
  <c r="R64" i="9" s="1"/>
  <c r="F40" i="9"/>
  <c r="H40" i="9"/>
  <c r="H67" i="9" s="1"/>
  <c r="J40" i="9"/>
  <c r="J67" i="9" s="1"/>
  <c r="L40" i="9"/>
  <c r="N40" i="9"/>
  <c r="N67" i="9" s="1"/>
  <c r="P40" i="9"/>
  <c r="P67" i="9" s="1"/>
  <c r="R40" i="9"/>
  <c r="R67" i="9" s="1"/>
  <c r="F51" i="9"/>
  <c r="F69" i="9" s="1"/>
  <c r="H51" i="9"/>
  <c r="H69" i="9" s="1"/>
  <c r="J51" i="9"/>
  <c r="J69" i="9" s="1"/>
  <c r="L51" i="9"/>
  <c r="L69" i="9" s="1"/>
  <c r="N51" i="9"/>
  <c r="N69" i="9" s="1"/>
  <c r="P51" i="9"/>
  <c r="P69" i="9" s="1"/>
  <c r="R51" i="9"/>
  <c r="R69" i="9" s="1"/>
  <c r="J2" i="15"/>
  <c r="I2" i="15"/>
  <c r="H2" i="15"/>
  <c r="F2" i="15"/>
  <c r="E2" i="15"/>
  <c r="D2" i="15"/>
  <c r="O2" i="9"/>
  <c r="M2" i="9"/>
  <c r="K3" i="9"/>
  <c r="K2" i="9"/>
  <c r="G2" i="9"/>
  <c r="E2" i="9"/>
  <c r="C2" i="9"/>
  <c r="C197" i="9"/>
  <c r="B193" i="9"/>
  <c r="B194" i="9"/>
  <c r="B195" i="9"/>
  <c r="B196" i="9"/>
  <c r="B192" i="9"/>
  <c r="B184" i="9"/>
  <c r="B183" i="9"/>
  <c r="A183" i="9"/>
  <c r="A178" i="9"/>
  <c r="A176" i="9"/>
  <c r="N61" i="9"/>
  <c r="P61" i="9"/>
  <c r="R62" i="9"/>
  <c r="J62" i="9"/>
  <c r="H62" i="9"/>
  <c r="E53" i="9"/>
  <c r="F53" i="9"/>
  <c r="P49" i="9"/>
  <c r="P48" i="9"/>
  <c r="P50" i="9"/>
  <c r="P45" i="9"/>
  <c r="P44" i="9"/>
  <c r="P46" i="9"/>
  <c r="P47" i="9"/>
  <c r="P42" i="9"/>
  <c r="P43" i="9"/>
  <c r="P41" i="9"/>
  <c r="O3" i="9"/>
  <c r="Q3" i="9"/>
  <c r="Q2" i="9"/>
  <c r="M3" i="9"/>
  <c r="I3" i="9"/>
  <c r="I2" i="9"/>
  <c r="G3" i="9"/>
  <c r="E3" i="9"/>
  <c r="C3" i="9"/>
  <c r="J3" i="15"/>
  <c r="I3" i="15"/>
  <c r="H3" i="15"/>
  <c r="G3" i="15"/>
  <c r="F3" i="15"/>
  <c r="E3" i="15"/>
  <c r="D3" i="15"/>
  <c r="C3" i="15"/>
  <c r="G55" i="9"/>
  <c r="A181" i="9"/>
  <c r="B180" i="9"/>
  <c r="B179" i="9"/>
  <c r="B177" i="9"/>
  <c r="B176" i="9"/>
  <c r="B174" i="9"/>
  <c r="A174" i="9"/>
  <c r="A169" i="9"/>
  <c r="B168" i="9"/>
  <c r="A168" i="9"/>
  <c r="B130" i="9"/>
  <c r="B129" i="9"/>
  <c r="Q55" i="9"/>
  <c r="O55" i="9"/>
  <c r="M55" i="9"/>
  <c r="K55" i="9"/>
  <c r="I55" i="9"/>
  <c r="E55" i="9"/>
  <c r="C55" i="9"/>
  <c r="N59" i="9" l="1"/>
  <c r="H63" i="9"/>
  <c r="I23" i="8"/>
  <c r="I38" i="8"/>
  <c r="U3" i="9"/>
  <c r="I18" i="7"/>
  <c r="P58" i="9"/>
  <c r="I36" i="4"/>
  <c r="I28" i="2"/>
  <c r="W3" i="9"/>
  <c r="I23" i="2"/>
  <c r="L59" i="9"/>
  <c r="R58" i="9"/>
  <c r="I36" i="8"/>
  <c r="I53" i="8"/>
  <c r="I18" i="8"/>
  <c r="H18" i="8" s="1"/>
  <c r="I28" i="8"/>
  <c r="I31" i="8"/>
  <c r="H33" i="8" s="1"/>
  <c r="I44" i="8"/>
  <c r="H45" i="8" s="1"/>
  <c r="I46" i="8"/>
  <c r="H51" i="8" s="1"/>
  <c r="H22" i="8"/>
  <c r="H20" i="8"/>
  <c r="H18" i="7"/>
  <c r="I31" i="7"/>
  <c r="H32" i="7" s="1"/>
  <c r="I36" i="7"/>
  <c r="I38" i="7"/>
  <c r="I23" i="7"/>
  <c r="I44" i="7"/>
  <c r="H45" i="7" s="1"/>
  <c r="H21" i="7"/>
  <c r="I46" i="7"/>
  <c r="H47" i="7" s="1"/>
  <c r="P68" i="9"/>
  <c r="H19" i="7"/>
  <c r="I53" i="7"/>
  <c r="H20" i="7"/>
  <c r="H22" i="7"/>
  <c r="I31" i="6"/>
  <c r="H31" i="6" s="1"/>
  <c r="I38" i="6"/>
  <c r="I36" i="6"/>
  <c r="I44" i="6"/>
  <c r="H44" i="6" s="1"/>
  <c r="H33" i="6"/>
  <c r="I46" i="6"/>
  <c r="H50" i="6" s="1"/>
  <c r="H45" i="6"/>
  <c r="I18" i="6"/>
  <c r="H22" i="6" s="1"/>
  <c r="I53" i="6"/>
  <c r="H55" i="6" s="1"/>
  <c r="V25" i="9"/>
  <c r="D177" i="9" s="1"/>
  <c r="V24" i="9"/>
  <c r="D176" i="9" s="1"/>
  <c r="H48" i="6"/>
  <c r="H21" i="6"/>
  <c r="I28" i="6"/>
  <c r="I44" i="5"/>
  <c r="H45" i="5" s="1"/>
  <c r="I31" i="5"/>
  <c r="H31" i="5" s="1"/>
  <c r="I53" i="5"/>
  <c r="H58" i="5" s="1"/>
  <c r="H32" i="5"/>
  <c r="H33" i="5"/>
  <c r="I38" i="5"/>
  <c r="I36" i="5"/>
  <c r="I46" i="5"/>
  <c r="H49" i="5" s="1"/>
  <c r="I18" i="5"/>
  <c r="H22" i="5" s="1"/>
  <c r="H34" i="5"/>
  <c r="I23" i="5"/>
  <c r="H57" i="5"/>
  <c r="I28" i="5"/>
  <c r="I53" i="4"/>
  <c r="H55" i="4" s="1"/>
  <c r="I44" i="4"/>
  <c r="H44" i="4" s="1"/>
  <c r="I31" i="4"/>
  <c r="H33" i="4" s="1"/>
  <c r="I18" i="4"/>
  <c r="H34" i="4"/>
  <c r="I23" i="4"/>
  <c r="H45" i="4"/>
  <c r="H60" i="4"/>
  <c r="I46" i="4"/>
  <c r="H51" i="4" s="1"/>
  <c r="I38" i="4"/>
  <c r="H19" i="4"/>
  <c r="I44" i="3"/>
  <c r="H44" i="3" s="1"/>
  <c r="I28" i="3"/>
  <c r="I46" i="3"/>
  <c r="H46" i="3" s="1"/>
  <c r="I53" i="3"/>
  <c r="H53" i="3" s="1"/>
  <c r="H47" i="3"/>
  <c r="I31" i="3"/>
  <c r="H33" i="3" s="1"/>
  <c r="I18" i="3"/>
  <c r="H21" i="3" s="1"/>
  <c r="H55" i="3"/>
  <c r="I23" i="3"/>
  <c r="H50" i="3"/>
  <c r="I38" i="3"/>
  <c r="I31" i="2"/>
  <c r="H34" i="2" s="1"/>
  <c r="I36" i="2"/>
  <c r="I38" i="2"/>
  <c r="I53" i="2"/>
  <c r="H60" i="2" s="1"/>
  <c r="I44" i="2"/>
  <c r="H44" i="2" s="1"/>
  <c r="I18" i="2"/>
  <c r="H18" i="2" s="1"/>
  <c r="I46" i="2"/>
  <c r="H49" i="2" s="1"/>
  <c r="H19" i="2"/>
  <c r="I64" i="1"/>
  <c r="V29" i="9"/>
  <c r="D179" i="9" s="1"/>
  <c r="F63" i="9"/>
  <c r="S3" i="9"/>
  <c r="F62" i="9"/>
  <c r="L96" i="9" s="1"/>
  <c r="N62" i="9"/>
  <c r="L62" i="9"/>
  <c r="R59" i="9"/>
  <c r="P59" i="9"/>
  <c r="M3" i="15"/>
  <c r="P62" i="9"/>
  <c r="J58" i="9"/>
  <c r="J95" i="9"/>
  <c r="J221" i="9" s="1"/>
  <c r="J7" i="15"/>
  <c r="I95" i="9"/>
  <c r="I221" i="9" s="1"/>
  <c r="J6" i="15"/>
  <c r="V31" i="9"/>
  <c r="D181" i="9" s="1"/>
  <c r="H58" i="9"/>
  <c r="K95" i="9"/>
  <c r="L2" i="15"/>
  <c r="L63" i="9"/>
  <c r="V13" i="9"/>
  <c r="D127" i="9" s="1"/>
  <c r="V23" i="9"/>
  <c r="D144" i="9" s="1"/>
  <c r="R63" i="9"/>
  <c r="V18" i="9"/>
  <c r="D133" i="9" s="1"/>
  <c r="P63" i="9"/>
  <c r="N58" i="9"/>
  <c r="L58" i="9"/>
  <c r="L103" i="9"/>
  <c r="K103" i="9"/>
  <c r="I103" i="9"/>
  <c r="S2" i="9"/>
  <c r="W2" i="9"/>
  <c r="J103" i="9"/>
  <c r="J229" i="9" s="1"/>
  <c r="K3" i="15"/>
  <c r="L3" i="15"/>
  <c r="U2" i="9"/>
  <c r="F64" i="9"/>
  <c r="F67" i="9"/>
  <c r="V40" i="9"/>
  <c r="L95" i="9"/>
  <c r="V51" i="9"/>
  <c r="L67" i="9"/>
  <c r="V30" i="9"/>
  <c r="D180" i="9" s="1"/>
  <c r="N63" i="9"/>
  <c r="V26" i="9"/>
  <c r="V11" i="9"/>
  <c r="F58" i="9"/>
  <c r="J59" i="9"/>
  <c r="J63" i="9"/>
  <c r="V12" i="9"/>
  <c r="D126" i="9" s="1"/>
  <c r="C2" i="15"/>
  <c r="D8" i="15"/>
  <c r="J8" i="15"/>
  <c r="V28" i="9"/>
  <c r="D137" i="9" s="1"/>
  <c r="V27" i="9"/>
  <c r="D136" i="9" s="1"/>
  <c r="H59" i="9"/>
  <c r="G2" i="15"/>
  <c r="V17" i="9"/>
  <c r="D132" i="9" s="1"/>
  <c r="F59" i="9"/>
  <c r="V16" i="9"/>
  <c r="V15" i="9"/>
  <c r="D130" i="9" s="1"/>
  <c r="V14" i="9"/>
  <c r="D128" i="9" s="1"/>
  <c r="H32" i="2" l="1"/>
  <c r="H33" i="2"/>
  <c r="H49" i="3"/>
  <c r="H47" i="4"/>
  <c r="H46" i="4"/>
  <c r="H32" i="4"/>
  <c r="H44" i="7"/>
  <c r="H50" i="8"/>
  <c r="H50" i="4"/>
  <c r="I64" i="4"/>
  <c r="H31" i="4"/>
  <c r="H54" i="4"/>
  <c r="H18" i="6"/>
  <c r="I93" i="9"/>
  <c r="H49" i="4"/>
  <c r="H19" i="6"/>
  <c r="H47" i="8"/>
  <c r="V95" i="9"/>
  <c r="H32" i="6"/>
  <c r="H34" i="6"/>
  <c r="H47" i="5"/>
  <c r="H20" i="5"/>
  <c r="H62" i="4"/>
  <c r="H48" i="4"/>
  <c r="H61" i="4"/>
  <c r="H22" i="4"/>
  <c r="H56" i="4"/>
  <c r="H59" i="3"/>
  <c r="H62" i="3"/>
  <c r="H60" i="3"/>
  <c r="H54" i="3"/>
  <c r="H57" i="3"/>
  <c r="H58" i="3"/>
  <c r="H21" i="2"/>
  <c r="V103" i="9"/>
  <c r="V62" i="9"/>
  <c r="H45" i="2"/>
  <c r="H33" i="7"/>
  <c r="H31" i="7"/>
  <c r="I64" i="7"/>
  <c r="H34" i="7"/>
  <c r="H18" i="5"/>
  <c r="H56" i="3"/>
  <c r="H20" i="3"/>
  <c r="H45" i="3"/>
  <c r="H18" i="3"/>
  <c r="H61" i="3"/>
  <c r="H51" i="3"/>
  <c r="H22" i="3"/>
  <c r="H20" i="2"/>
  <c r="H22" i="2"/>
  <c r="J9" i="15"/>
  <c r="K97" i="9"/>
  <c r="K223" i="9" s="1"/>
  <c r="K96" i="9"/>
  <c r="H32" i="8"/>
  <c r="H44" i="8"/>
  <c r="H49" i="8"/>
  <c r="I64" i="8"/>
  <c r="H34" i="8"/>
  <c r="H48" i="8"/>
  <c r="H46" i="8"/>
  <c r="H31" i="8"/>
  <c r="H21" i="8"/>
  <c r="H19" i="8"/>
  <c r="H49" i="7"/>
  <c r="H50" i="7"/>
  <c r="H46" i="7"/>
  <c r="H48" i="7"/>
  <c r="H51" i="7"/>
  <c r="H54" i="6"/>
  <c r="H61" i="6"/>
  <c r="H53" i="6"/>
  <c r="H60" i="6"/>
  <c r="H47" i="6"/>
  <c r="H46" i="6"/>
  <c r="H62" i="6"/>
  <c r="H57" i="6"/>
  <c r="H49" i="6"/>
  <c r="H56" i="6"/>
  <c r="H59" i="6"/>
  <c r="H58" i="6"/>
  <c r="I64" i="6"/>
  <c r="H51" i="6"/>
  <c r="H20" i="6"/>
  <c r="H60" i="5"/>
  <c r="H59" i="5"/>
  <c r="H46" i="5"/>
  <c r="H53" i="5"/>
  <c r="H44" i="5"/>
  <c r="H61" i="5"/>
  <c r="H62" i="5"/>
  <c r="H56" i="5"/>
  <c r="H55" i="5"/>
  <c r="H54" i="5"/>
  <c r="H48" i="5"/>
  <c r="H51" i="5"/>
  <c r="H50" i="5"/>
  <c r="I64" i="5"/>
  <c r="H21" i="5"/>
  <c r="H19" i="5"/>
  <c r="H21" i="4"/>
  <c r="H59" i="4"/>
  <c r="H18" i="4"/>
  <c r="H58" i="4"/>
  <c r="H57" i="4"/>
  <c r="H53" i="4"/>
  <c r="H20" i="4"/>
  <c r="H34" i="3"/>
  <c r="H31" i="3"/>
  <c r="H48" i="3"/>
  <c r="H32" i="3"/>
  <c r="I64" i="3"/>
  <c r="H19" i="3"/>
  <c r="V61" i="9"/>
  <c r="I111" i="9"/>
  <c r="V64" i="9"/>
  <c r="S95" i="9"/>
  <c r="J96" i="9"/>
  <c r="J222" i="9" s="1"/>
  <c r="I96" i="9"/>
  <c r="S96" i="9" s="1"/>
  <c r="H56" i="2"/>
  <c r="I64" i="2"/>
  <c r="H51" i="2"/>
  <c r="H59" i="2"/>
  <c r="H54" i="2"/>
  <c r="H55" i="2"/>
  <c r="H31" i="2"/>
  <c r="H46" i="2"/>
  <c r="H50" i="2"/>
  <c r="H58" i="2"/>
  <c r="H53" i="2"/>
  <c r="H47" i="2"/>
  <c r="H48" i="2"/>
  <c r="H61" i="2"/>
  <c r="H57" i="2"/>
  <c r="H62" i="2"/>
  <c r="H111" i="9"/>
  <c r="P95" i="9"/>
  <c r="D7" i="15"/>
  <c r="K221" i="9"/>
  <c r="Q95" i="9"/>
  <c r="H7" i="15"/>
  <c r="H8" i="15"/>
  <c r="C12" i="9"/>
  <c r="C28" i="9"/>
  <c r="C18" i="9"/>
  <c r="C14" i="9"/>
  <c r="D131" i="9"/>
  <c r="V59" i="9"/>
  <c r="L97" i="9"/>
  <c r="I97" i="9"/>
  <c r="Q97" i="9" s="1"/>
  <c r="L92" i="9"/>
  <c r="Z58" i="9"/>
  <c r="J92" i="9"/>
  <c r="J218" i="9" s="1"/>
  <c r="K92" i="9"/>
  <c r="V92" i="9" s="1"/>
  <c r="I92" i="9"/>
  <c r="C25" i="9"/>
  <c r="G6" i="15"/>
  <c r="M2" i="15"/>
  <c r="K2" i="15"/>
  <c r="C30" i="9"/>
  <c r="V69" i="9"/>
  <c r="D186" i="9"/>
  <c r="H112" i="9"/>
  <c r="S103" i="9"/>
  <c r="H119" i="9"/>
  <c r="I119" i="9"/>
  <c r="I229" i="9"/>
  <c r="P103" i="9"/>
  <c r="C27" i="9"/>
  <c r="D185" i="9"/>
  <c r="V67" i="9"/>
  <c r="C15" i="9"/>
  <c r="Q103" i="9"/>
  <c r="K229" i="9"/>
  <c r="K101" i="9"/>
  <c r="I101" i="9"/>
  <c r="L101" i="9"/>
  <c r="J101" i="9"/>
  <c r="J227" i="9" s="1"/>
  <c r="G7" i="15"/>
  <c r="D6" i="15"/>
  <c r="L6" i="15" s="1"/>
  <c r="C17" i="9"/>
  <c r="J93" i="9"/>
  <c r="J219" i="9" s="1"/>
  <c r="K93" i="9"/>
  <c r="L93" i="9"/>
  <c r="H6" i="15"/>
  <c r="C8" i="15"/>
  <c r="F6" i="15"/>
  <c r="J112" i="9"/>
  <c r="L222" i="9" s="1"/>
  <c r="D129" i="9"/>
  <c r="V58" i="9"/>
  <c r="D178" i="9"/>
  <c r="V63" i="9"/>
  <c r="J111" i="9"/>
  <c r="L221" i="9" s="1"/>
  <c r="M95" i="9"/>
  <c r="C29" i="9"/>
  <c r="K98" i="9"/>
  <c r="V98" i="9" s="1"/>
  <c r="J98" i="9"/>
  <c r="J224" i="9" s="1"/>
  <c r="I98" i="9"/>
  <c r="L98" i="9"/>
  <c r="C13" i="9"/>
  <c r="M103" i="9"/>
  <c r="J119" i="9"/>
  <c r="L229" i="9" s="1"/>
  <c r="J97" i="9"/>
  <c r="J223" i="9" s="1"/>
  <c r="H64" i="8" l="1"/>
  <c r="H64" i="7"/>
  <c r="V93" i="9"/>
  <c r="V101" i="9"/>
  <c r="K111" i="9"/>
  <c r="H64" i="6"/>
  <c r="K222" i="9"/>
  <c r="V96" i="9"/>
  <c r="V97" i="9"/>
  <c r="H64" i="5"/>
  <c r="H64" i="3"/>
  <c r="H64" i="2"/>
  <c r="M96" i="9"/>
  <c r="P96" i="9"/>
  <c r="H64" i="4"/>
  <c r="Q96" i="9"/>
  <c r="I112" i="9"/>
  <c r="K112" i="9" s="1"/>
  <c r="I222" i="9"/>
  <c r="H9" i="15"/>
  <c r="C6" i="15"/>
  <c r="M46" i="9"/>
  <c r="G8" i="15"/>
  <c r="G9" i="15" s="1"/>
  <c r="K119" i="9"/>
  <c r="L119" i="9" s="1"/>
  <c r="N229" i="9" s="1"/>
  <c r="K39" i="9"/>
  <c r="G6" i="9"/>
  <c r="J114" i="9"/>
  <c r="L224" i="9" s="1"/>
  <c r="M98" i="9"/>
  <c r="C7" i="9"/>
  <c r="I6" i="9"/>
  <c r="K224" i="9"/>
  <c r="Q98" i="9"/>
  <c r="C9" i="9"/>
  <c r="Q93" i="9"/>
  <c r="K219" i="9"/>
  <c r="S93" i="9"/>
  <c r="P93" i="9"/>
  <c r="I219" i="9"/>
  <c r="H109" i="9"/>
  <c r="I109" i="9"/>
  <c r="J117" i="9"/>
  <c r="L227" i="9" s="1"/>
  <c r="M101" i="9"/>
  <c r="L111" i="9"/>
  <c r="N221" i="9" s="1"/>
  <c r="M221" i="9"/>
  <c r="C24" i="9"/>
  <c r="M47" i="9"/>
  <c r="I13" i="9"/>
  <c r="I29" i="9"/>
  <c r="I12" i="9"/>
  <c r="I27" i="9"/>
  <c r="I17" i="9"/>
  <c r="I28" i="9"/>
  <c r="I18" i="9"/>
  <c r="I25" i="9"/>
  <c r="I14" i="9"/>
  <c r="I30" i="9"/>
  <c r="I15" i="9"/>
  <c r="F7" i="15"/>
  <c r="L7" i="15" s="1"/>
  <c r="Q6" i="9"/>
  <c r="M30" i="9"/>
  <c r="M18" i="9"/>
  <c r="M13" i="9"/>
  <c r="M17" i="9"/>
  <c r="M25" i="9"/>
  <c r="M14" i="9"/>
  <c r="M27" i="9"/>
  <c r="M12" i="9"/>
  <c r="M28" i="9"/>
  <c r="M29" i="9"/>
  <c r="M15" i="9"/>
  <c r="I108" i="9"/>
  <c r="H108" i="9"/>
  <c r="S92" i="9"/>
  <c r="P92" i="9"/>
  <c r="I218" i="9"/>
  <c r="J108" i="9"/>
  <c r="L218" i="9" s="1"/>
  <c r="M92" i="9"/>
  <c r="C8" i="9"/>
  <c r="C48" i="9"/>
  <c r="Q13" i="9"/>
  <c r="Q27" i="9"/>
  <c r="Q15" i="9"/>
  <c r="Q14" i="9"/>
  <c r="Q17" i="9"/>
  <c r="Q18" i="9"/>
  <c r="Q29" i="9"/>
  <c r="Q30" i="9"/>
  <c r="Q12" i="9"/>
  <c r="Q28" i="9"/>
  <c r="Q25" i="9"/>
  <c r="C45" i="9"/>
  <c r="C51" i="9"/>
  <c r="C43" i="9"/>
  <c r="E6" i="15"/>
  <c r="E7" i="15"/>
  <c r="C39" i="9"/>
  <c r="C22" i="9"/>
  <c r="C20" i="9"/>
  <c r="D9" i="15"/>
  <c r="C35" i="9"/>
  <c r="C47" i="9"/>
  <c r="O28" i="9"/>
  <c r="O29" i="9"/>
  <c r="O44" i="9"/>
  <c r="O43" i="9"/>
  <c r="O13" i="9"/>
  <c r="O46" i="9"/>
  <c r="O47" i="9"/>
  <c r="O15" i="9"/>
  <c r="O48" i="9"/>
  <c r="O12" i="9"/>
  <c r="O17" i="9"/>
  <c r="O25" i="9"/>
  <c r="O50" i="9"/>
  <c r="O42" i="9"/>
  <c r="O45" i="9"/>
  <c r="O18" i="9"/>
  <c r="O27" i="9"/>
  <c r="O49" i="9"/>
  <c r="O14" i="9"/>
  <c r="O30" i="9"/>
  <c r="C44" i="9"/>
  <c r="I7" i="15"/>
  <c r="I6" i="15"/>
  <c r="I8" i="15"/>
  <c r="C10" i="9"/>
  <c r="Q92" i="9"/>
  <c r="K218" i="9"/>
  <c r="C41" i="9"/>
  <c r="C40" i="9"/>
  <c r="S98" i="9"/>
  <c r="I224" i="9"/>
  <c r="H114" i="9"/>
  <c r="P98" i="9"/>
  <c r="I114" i="9"/>
  <c r="C46" i="9"/>
  <c r="I117" i="9"/>
  <c r="H117" i="9"/>
  <c r="P101" i="9"/>
  <c r="S101" i="9"/>
  <c r="I227" i="9"/>
  <c r="G25" i="9"/>
  <c r="G15" i="9"/>
  <c r="G27" i="9"/>
  <c r="G28" i="9"/>
  <c r="G29" i="9"/>
  <c r="G12" i="9"/>
  <c r="G30" i="9"/>
  <c r="G17" i="9"/>
  <c r="G13" i="9"/>
  <c r="G14" i="9"/>
  <c r="G18" i="9"/>
  <c r="K30" i="9"/>
  <c r="K25" i="9"/>
  <c r="K28" i="9"/>
  <c r="K15" i="9"/>
  <c r="K27" i="9"/>
  <c r="K17" i="9"/>
  <c r="K12" i="9"/>
  <c r="K18" i="9"/>
  <c r="K29" i="9"/>
  <c r="K14" i="9"/>
  <c r="K13" i="9"/>
  <c r="C49" i="9"/>
  <c r="Q42" i="9"/>
  <c r="C11" i="9"/>
  <c r="C50" i="9"/>
  <c r="C23" i="9"/>
  <c r="O6" i="9"/>
  <c r="E14" i="9"/>
  <c r="E30" i="9"/>
  <c r="E17" i="9"/>
  <c r="E13" i="9"/>
  <c r="E18" i="9"/>
  <c r="E15" i="9"/>
  <c r="E29" i="9"/>
  <c r="E25" i="9"/>
  <c r="E28" i="9"/>
  <c r="U28" i="9" s="1"/>
  <c r="E12" i="9"/>
  <c r="E27" i="9"/>
  <c r="I223" i="9"/>
  <c r="H113" i="9"/>
  <c r="S97" i="9"/>
  <c r="I113" i="9"/>
  <c r="P97" i="9"/>
  <c r="C38" i="9"/>
  <c r="C16" i="9"/>
  <c r="C34" i="9"/>
  <c r="C36" i="9"/>
  <c r="M93" i="9"/>
  <c r="J109" i="9"/>
  <c r="L219" i="9" s="1"/>
  <c r="C31" i="9"/>
  <c r="K227" i="9"/>
  <c r="Q101" i="9"/>
  <c r="C42" i="9"/>
  <c r="C21" i="9"/>
  <c r="C6" i="9"/>
  <c r="E8" i="15"/>
  <c r="C33" i="9"/>
  <c r="C7" i="15"/>
  <c r="J113" i="9"/>
  <c r="L223" i="9" s="1"/>
  <c r="M97" i="9"/>
  <c r="F8" i="15"/>
  <c r="L8" i="15" s="1"/>
  <c r="C37" i="9"/>
  <c r="C19" i="9"/>
  <c r="C26" i="9"/>
  <c r="C32" i="9"/>
  <c r="K6" i="15" l="1"/>
  <c r="K117" i="9"/>
  <c r="L117" i="9" s="1"/>
  <c r="N227" i="9" s="1"/>
  <c r="S14" i="9"/>
  <c r="M229" i="9"/>
  <c r="U17" i="9"/>
  <c r="W17" i="9"/>
  <c r="C52" i="9"/>
  <c r="U14" i="9"/>
  <c r="W29" i="9"/>
  <c r="W15" i="9"/>
  <c r="M6" i="15"/>
  <c r="S13" i="9"/>
  <c r="U29" i="9"/>
  <c r="S18" i="9"/>
  <c r="S30" i="9"/>
  <c r="K114" i="9"/>
  <c r="L114" i="9" s="1"/>
  <c r="N224" i="9" s="1"/>
  <c r="S25" i="9"/>
  <c r="U15" i="9"/>
  <c r="U13" i="9"/>
  <c r="W28" i="9"/>
  <c r="W13" i="9"/>
  <c r="S12" i="9"/>
  <c r="W27" i="9"/>
  <c r="W25" i="9"/>
  <c r="K8" i="15"/>
  <c r="W18" i="9"/>
  <c r="W30" i="9"/>
  <c r="W14" i="9"/>
  <c r="S29" i="9"/>
  <c r="M8" i="15"/>
  <c r="J43" i="9"/>
  <c r="I41" i="9"/>
  <c r="M42" i="9"/>
  <c r="E31" i="9"/>
  <c r="E23" i="9"/>
  <c r="E24" i="9"/>
  <c r="E11" i="9"/>
  <c r="E38" i="9"/>
  <c r="F7" i="9"/>
  <c r="E6" i="9"/>
  <c r="K24" i="9"/>
  <c r="K62" i="9" s="1"/>
  <c r="K33" i="9"/>
  <c r="L39" i="9"/>
  <c r="K34" i="9"/>
  <c r="G33" i="9"/>
  <c r="H41" i="9"/>
  <c r="G41" i="9"/>
  <c r="H34" i="9"/>
  <c r="G34" i="9"/>
  <c r="G21" i="9"/>
  <c r="G40" i="9"/>
  <c r="G67" i="9" s="1"/>
  <c r="G36" i="9"/>
  <c r="F9" i="15"/>
  <c r="C68" i="9"/>
  <c r="R42" i="9"/>
  <c r="Q41" i="9"/>
  <c r="O37" i="9"/>
  <c r="O24" i="9"/>
  <c r="O62" i="9" s="1"/>
  <c r="O16" i="9"/>
  <c r="O59" i="9" s="1"/>
  <c r="O36" i="9"/>
  <c r="O8" i="9"/>
  <c r="P8" i="9"/>
  <c r="Q50" i="9"/>
  <c r="Q37" i="9"/>
  <c r="Q7" i="9"/>
  <c r="Q48" i="9"/>
  <c r="Q16" i="9"/>
  <c r="Q59" i="9" s="1"/>
  <c r="Q26" i="9"/>
  <c r="Q63" i="9" s="1"/>
  <c r="Q8" i="9"/>
  <c r="M37" i="9"/>
  <c r="M23" i="9"/>
  <c r="M61" i="9" s="1"/>
  <c r="M7" i="9"/>
  <c r="I38" i="9"/>
  <c r="I23" i="9"/>
  <c r="I61" i="9" s="1"/>
  <c r="J21" i="9"/>
  <c r="I19" i="9"/>
  <c r="J32" i="9"/>
  <c r="I32" i="9"/>
  <c r="C60" i="9"/>
  <c r="L19" i="9"/>
  <c r="K19" i="9"/>
  <c r="M7" i="15"/>
  <c r="K7" i="15"/>
  <c r="C57" i="9"/>
  <c r="Q46" i="9"/>
  <c r="C64" i="9"/>
  <c r="U27" i="9"/>
  <c r="E48" i="9"/>
  <c r="F38" i="9"/>
  <c r="E34" i="9"/>
  <c r="K20" i="9"/>
  <c r="K47" i="9"/>
  <c r="K51" i="9"/>
  <c r="K69" i="9" s="1"/>
  <c r="K45" i="9"/>
  <c r="G47" i="9"/>
  <c r="C67" i="9"/>
  <c r="Q45" i="9"/>
  <c r="E50" i="9"/>
  <c r="O22" i="9"/>
  <c r="O41" i="9"/>
  <c r="O68" i="9" s="1"/>
  <c r="O26" i="9"/>
  <c r="O63" i="9" s="1"/>
  <c r="P9" i="9"/>
  <c r="O9" i="9"/>
  <c r="R32" i="9"/>
  <c r="Q32" i="9"/>
  <c r="Q24" i="9"/>
  <c r="Q62" i="9" s="1"/>
  <c r="Q36" i="9"/>
  <c r="C63" i="9"/>
  <c r="M41" i="9"/>
  <c r="K9" i="9"/>
  <c r="S15" i="9"/>
  <c r="E46" i="9"/>
  <c r="K113" i="9"/>
  <c r="E45" i="9"/>
  <c r="E35" i="9"/>
  <c r="E33" i="9"/>
  <c r="E36" i="9"/>
  <c r="E7" i="9"/>
  <c r="E16" i="9"/>
  <c r="E26" i="9"/>
  <c r="E47" i="9"/>
  <c r="F20" i="9"/>
  <c r="E19" i="9"/>
  <c r="C61" i="9"/>
  <c r="C58" i="9"/>
  <c r="K38" i="9"/>
  <c r="K46" i="9"/>
  <c r="K8" i="9"/>
  <c r="L22" i="9"/>
  <c r="K22" i="9"/>
  <c r="K48" i="9"/>
  <c r="K37" i="9"/>
  <c r="K26" i="9"/>
  <c r="K63" i="9" s="1"/>
  <c r="K36" i="9"/>
  <c r="G42" i="9"/>
  <c r="G48" i="9"/>
  <c r="G10" i="9"/>
  <c r="G46" i="9"/>
  <c r="G22" i="9"/>
  <c r="G9" i="9"/>
  <c r="G38" i="9"/>
  <c r="G16" i="9"/>
  <c r="G59" i="9" s="1"/>
  <c r="G23" i="9"/>
  <c r="G61" i="9" s="1"/>
  <c r="O35" i="9"/>
  <c r="O38" i="9"/>
  <c r="O21" i="9"/>
  <c r="O33" i="9"/>
  <c r="O11" i="9"/>
  <c r="O58" i="9" s="1"/>
  <c r="O51" i="9"/>
  <c r="O69" i="9" s="1"/>
  <c r="O19" i="9"/>
  <c r="P20" i="9"/>
  <c r="C69" i="9"/>
  <c r="Q49" i="9"/>
  <c r="Q51" i="9"/>
  <c r="Q69" i="9" s="1"/>
  <c r="Q40" i="9"/>
  <c r="Q67" i="9" s="1"/>
  <c r="Q39" i="9"/>
  <c r="Q31" i="9"/>
  <c r="Q64" i="9" s="1"/>
  <c r="R20" i="9"/>
  <c r="Q19" i="9"/>
  <c r="Q11" i="9"/>
  <c r="Q58" i="9" s="1"/>
  <c r="K108" i="9"/>
  <c r="M20" i="9"/>
  <c r="N9" i="9"/>
  <c r="M6" i="9"/>
  <c r="M39" i="9"/>
  <c r="M22" i="9"/>
  <c r="M48" i="9"/>
  <c r="M16" i="9"/>
  <c r="M59" i="9" s="1"/>
  <c r="N37" i="9"/>
  <c r="M34" i="9"/>
  <c r="M36" i="9"/>
  <c r="M45" i="9"/>
  <c r="I11" i="9"/>
  <c r="I58" i="9" s="1"/>
  <c r="I20" i="9"/>
  <c r="I37" i="9"/>
  <c r="I7" i="9"/>
  <c r="I9" i="9"/>
  <c r="I43" i="9"/>
  <c r="I16" i="9"/>
  <c r="I59" i="9" s="1"/>
  <c r="I21" i="9"/>
  <c r="I45" i="9"/>
  <c r="I44" i="9"/>
  <c r="S27" i="9"/>
  <c r="G8" i="9"/>
  <c r="F8" i="9"/>
  <c r="E8" i="9"/>
  <c r="E39" i="9"/>
  <c r="E22" i="9"/>
  <c r="K7" i="9"/>
  <c r="K10" i="9"/>
  <c r="L21" i="9"/>
  <c r="K21" i="9"/>
  <c r="K40" i="9"/>
  <c r="K67" i="9" s="1"/>
  <c r="K43" i="9"/>
  <c r="G24" i="9"/>
  <c r="G62" i="9" s="1"/>
  <c r="G39" i="9"/>
  <c r="G45" i="9"/>
  <c r="G49" i="9"/>
  <c r="O39" i="9"/>
  <c r="P10" i="9"/>
  <c r="O10" i="9"/>
  <c r="Q35" i="9"/>
  <c r="Q33" i="9"/>
  <c r="R37" i="9"/>
  <c r="Q34" i="9"/>
  <c r="W48" i="9"/>
  <c r="M33" i="9"/>
  <c r="M24" i="9"/>
  <c r="M62" i="9" s="1"/>
  <c r="M21" i="9"/>
  <c r="M44" i="9"/>
  <c r="I10" i="9"/>
  <c r="I47" i="9"/>
  <c r="I35" i="9"/>
  <c r="I33" i="9"/>
  <c r="I24" i="9"/>
  <c r="I62" i="9" s="1"/>
  <c r="W12" i="9"/>
  <c r="F48" i="9"/>
  <c r="E41" i="9"/>
  <c r="E37" i="9"/>
  <c r="E40" i="9"/>
  <c r="U25" i="9"/>
  <c r="F32" i="9"/>
  <c r="E32" i="9"/>
  <c r="F44" i="9"/>
  <c r="E44" i="9"/>
  <c r="L43" i="9"/>
  <c r="K41" i="9"/>
  <c r="G50" i="9"/>
  <c r="G20" i="9"/>
  <c r="G37" i="9"/>
  <c r="G7" i="9"/>
  <c r="G51" i="9"/>
  <c r="G69" i="9" s="1"/>
  <c r="P7" i="9"/>
  <c r="O7" i="9"/>
  <c r="O23" i="9"/>
  <c r="O61" i="9" s="1"/>
  <c r="O40" i="9"/>
  <c r="O67" i="9" s="1"/>
  <c r="Q43" i="9"/>
  <c r="Q47" i="9"/>
  <c r="Q20" i="9"/>
  <c r="M8" i="9"/>
  <c r="M40" i="9"/>
  <c r="M67" i="9" s="1"/>
  <c r="M26" i="9"/>
  <c r="M63" i="9" s="1"/>
  <c r="M31" i="9"/>
  <c r="M64" i="9" s="1"/>
  <c r="M43" i="9"/>
  <c r="M19" i="9"/>
  <c r="N20" i="9"/>
  <c r="R7" i="9"/>
  <c r="I36" i="9"/>
  <c r="I51" i="9"/>
  <c r="I69" i="9" s="1"/>
  <c r="I39" i="9"/>
  <c r="I40" i="9"/>
  <c r="I67" i="9" s="1"/>
  <c r="J36" i="9"/>
  <c r="I34" i="9"/>
  <c r="I26" i="9"/>
  <c r="I63" i="9" s="1"/>
  <c r="I48" i="9"/>
  <c r="C62" i="9"/>
  <c r="E42" i="9"/>
  <c r="S17" i="9"/>
  <c r="K109" i="9"/>
  <c r="H10" i="9"/>
  <c r="C65" i="9"/>
  <c r="M222" i="9"/>
  <c r="L112" i="9"/>
  <c r="N222" i="9" s="1"/>
  <c r="M50" i="9"/>
  <c r="K44" i="9"/>
  <c r="C66" i="9"/>
  <c r="C59" i="9"/>
  <c r="K42" i="9"/>
  <c r="E43" i="9"/>
  <c r="F10" i="9"/>
  <c r="E10" i="9"/>
  <c r="U12" i="9"/>
  <c r="E20" i="9"/>
  <c r="F49" i="9"/>
  <c r="E49" i="9"/>
  <c r="U18" i="9"/>
  <c r="U30" i="9"/>
  <c r="E9" i="9"/>
  <c r="F9" i="9"/>
  <c r="E21" i="9"/>
  <c r="K35" i="9"/>
  <c r="K49" i="9"/>
  <c r="K31" i="9"/>
  <c r="K64" i="9" s="1"/>
  <c r="K11" i="9"/>
  <c r="K58" i="9" s="1"/>
  <c r="K23" i="9"/>
  <c r="K61" i="9" s="1"/>
  <c r="L8" i="9"/>
  <c r="K6" i="9"/>
  <c r="K16" i="9"/>
  <c r="K59" i="9" s="1"/>
  <c r="L32" i="9"/>
  <c r="K32" i="9"/>
  <c r="G44" i="9"/>
  <c r="G43" i="9"/>
  <c r="G32" i="9"/>
  <c r="G65" i="9" s="1"/>
  <c r="H32" i="9"/>
  <c r="G26" i="9"/>
  <c r="G63" i="9" s="1"/>
  <c r="G11" i="9"/>
  <c r="G58" i="9" s="1"/>
  <c r="H35" i="9"/>
  <c r="G35" i="9"/>
  <c r="G31" i="9"/>
  <c r="G64" i="9" s="1"/>
  <c r="H20" i="9"/>
  <c r="G19" i="9"/>
  <c r="S28" i="9"/>
  <c r="I9" i="15"/>
  <c r="O20" i="9"/>
  <c r="P36" i="9"/>
  <c r="O34" i="9"/>
  <c r="O31" i="9"/>
  <c r="O64" i="9" s="1"/>
  <c r="O32" i="9"/>
  <c r="O65" i="9" s="1"/>
  <c r="P33" i="9"/>
  <c r="L9" i="15"/>
  <c r="C9" i="15"/>
  <c r="E9" i="15"/>
  <c r="R10" i="9"/>
  <c r="Q10" i="9"/>
  <c r="R21" i="9"/>
  <c r="Q21" i="9"/>
  <c r="R9" i="9"/>
  <c r="Q9" i="9"/>
  <c r="Q23" i="9"/>
  <c r="Q61" i="9" s="1"/>
  <c r="R22" i="9"/>
  <c r="Q22" i="9"/>
  <c r="Q38" i="9"/>
  <c r="R44" i="9"/>
  <c r="Q44" i="9"/>
  <c r="M49" i="9"/>
  <c r="M10" i="9"/>
  <c r="M35" i="9"/>
  <c r="M51" i="9"/>
  <c r="M69" i="9" s="1"/>
  <c r="M11" i="9"/>
  <c r="M58" i="9" s="1"/>
  <c r="M38" i="9"/>
  <c r="N33" i="9"/>
  <c r="M32" i="9"/>
  <c r="M9" i="9"/>
  <c r="I31" i="9"/>
  <c r="I64" i="9" s="1"/>
  <c r="I8" i="9"/>
  <c r="I46" i="9"/>
  <c r="I49" i="9"/>
  <c r="J22" i="9"/>
  <c r="I22" i="9"/>
  <c r="I42" i="9"/>
  <c r="J50" i="9"/>
  <c r="I50" i="9"/>
  <c r="E51" i="9"/>
  <c r="L50" i="9"/>
  <c r="K50" i="9"/>
  <c r="J9" i="9"/>
  <c r="W19" i="9" l="1"/>
  <c r="W42" i="9"/>
  <c r="W46" i="9"/>
  <c r="W47" i="9"/>
  <c r="M227" i="9"/>
  <c r="N6" i="15"/>
  <c r="W8" i="9"/>
  <c r="S24" i="9"/>
  <c r="S62" i="9" s="1"/>
  <c r="Q57" i="9"/>
  <c r="O52" i="9"/>
  <c r="W39" i="9"/>
  <c r="M224" i="9"/>
  <c r="Y14" i="9"/>
  <c r="S7" i="9"/>
  <c r="Y13" i="9"/>
  <c r="E52" i="9"/>
  <c r="L36" i="9"/>
  <c r="L20" i="9"/>
  <c r="G52" i="9"/>
  <c r="K65" i="9"/>
  <c r="K52" i="9"/>
  <c r="F41" i="9"/>
  <c r="L10" i="9"/>
  <c r="S22" i="9"/>
  <c r="W9" i="9"/>
  <c r="N7" i="15"/>
  <c r="J38" i="9"/>
  <c r="N8" i="15"/>
  <c r="Y30" i="9"/>
  <c r="Y27" i="9"/>
  <c r="Y28" i="9"/>
  <c r="Y15" i="9"/>
  <c r="Y17" i="9"/>
  <c r="I52" i="9"/>
  <c r="Y29" i="9"/>
  <c r="Q52" i="9"/>
  <c r="L37" i="9"/>
  <c r="K9" i="15"/>
  <c r="O57" i="9"/>
  <c r="Y25" i="9"/>
  <c r="N32" i="9"/>
  <c r="V32" i="9" s="1"/>
  <c r="F43" i="9"/>
  <c r="F42" i="9"/>
  <c r="M60" i="9"/>
  <c r="Y12" i="9"/>
  <c r="W49" i="9"/>
  <c r="M52" i="9"/>
  <c r="W33" i="9"/>
  <c r="Y18" i="9"/>
  <c r="J46" i="9"/>
  <c r="F37" i="9"/>
  <c r="R34" i="9"/>
  <c r="J45" i="9"/>
  <c r="S50" i="9"/>
  <c r="F34" i="9"/>
  <c r="W21" i="9"/>
  <c r="J41" i="9"/>
  <c r="P34" i="9"/>
  <c r="W35" i="9"/>
  <c r="J48" i="9"/>
  <c r="G57" i="9"/>
  <c r="J47" i="9"/>
  <c r="R33" i="9"/>
  <c r="R65" i="9" s="1"/>
  <c r="J44" i="9"/>
  <c r="R49" i="9"/>
  <c r="L38" i="9"/>
  <c r="F45" i="9"/>
  <c r="F46" i="9"/>
  <c r="P37" i="9"/>
  <c r="L34" i="9"/>
  <c r="L33" i="9"/>
  <c r="L65" i="9" s="1"/>
  <c r="S37" i="9"/>
  <c r="R35" i="9"/>
  <c r="F35" i="9"/>
  <c r="J42" i="9"/>
  <c r="J49" i="9"/>
  <c r="M65" i="9"/>
  <c r="N38" i="9"/>
  <c r="R38" i="9"/>
  <c r="I66" i="9"/>
  <c r="W50" i="9"/>
  <c r="W45" i="9"/>
  <c r="F39" i="9"/>
  <c r="F36" i="9"/>
  <c r="P32" i="9"/>
  <c r="P65" i="9" s="1"/>
  <c r="S20" i="9"/>
  <c r="W22" i="9"/>
  <c r="R8" i="9"/>
  <c r="S42" i="9"/>
  <c r="L35" i="9"/>
  <c r="S36" i="9"/>
  <c r="N19" i="9"/>
  <c r="R47" i="9"/>
  <c r="H7" i="9"/>
  <c r="S47" i="9"/>
  <c r="I57" i="9"/>
  <c r="R19" i="9"/>
  <c r="R60" i="9" s="1"/>
  <c r="R39" i="9"/>
  <c r="P38" i="9"/>
  <c r="W38" i="9"/>
  <c r="W36" i="9"/>
  <c r="W37" i="9"/>
  <c r="S26" i="9"/>
  <c r="S63" i="9" s="1"/>
  <c r="F50" i="9"/>
  <c r="R46" i="9"/>
  <c r="M9" i="15"/>
  <c r="G66" i="9"/>
  <c r="S10" i="9"/>
  <c r="W44" i="9"/>
  <c r="F33" i="9"/>
  <c r="F65" i="9" s="1"/>
  <c r="S35" i="9"/>
  <c r="W43" i="9"/>
  <c r="U9" i="9"/>
  <c r="L42" i="9"/>
  <c r="L44" i="9"/>
  <c r="R43" i="9"/>
  <c r="W20" i="9"/>
  <c r="W10" i="9"/>
  <c r="S44" i="9"/>
  <c r="J20" i="9"/>
  <c r="V20" i="9" s="1"/>
  <c r="D174" i="9" s="1"/>
  <c r="N22" i="9"/>
  <c r="W51" i="9"/>
  <c r="H9" i="9"/>
  <c r="S48" i="9"/>
  <c r="S11" i="9"/>
  <c r="S58" i="9" s="1"/>
  <c r="R45" i="9"/>
  <c r="S8" i="9"/>
  <c r="W32" i="9"/>
  <c r="L109" i="9"/>
  <c r="N219" i="9" s="1"/>
  <c r="M219" i="9"/>
  <c r="U39" i="9"/>
  <c r="Q60" i="9"/>
  <c r="S23" i="9"/>
  <c r="S61" i="9" s="1"/>
  <c r="U7" i="9"/>
  <c r="U45" i="9"/>
  <c r="U46" i="9"/>
  <c r="N46" i="9"/>
  <c r="N47" i="9"/>
  <c r="S40" i="9"/>
  <c r="S67" i="9" s="1"/>
  <c r="S31" i="9"/>
  <c r="S64" i="9" s="1"/>
  <c r="C70" i="9"/>
  <c r="S43" i="9"/>
  <c r="U38" i="9"/>
  <c r="E69" i="9"/>
  <c r="U51" i="9"/>
  <c r="U69" i="9" s="1"/>
  <c r="S45" i="9"/>
  <c r="O66" i="9"/>
  <c r="H43" i="9"/>
  <c r="S34" i="9"/>
  <c r="S32" i="9"/>
  <c r="W24" i="9"/>
  <c r="E65" i="9"/>
  <c r="U32" i="9"/>
  <c r="E68" i="9"/>
  <c r="U41" i="9"/>
  <c r="H46" i="9"/>
  <c r="L46" i="9"/>
  <c r="W23" i="9"/>
  <c r="F19" i="9"/>
  <c r="P22" i="9"/>
  <c r="L45" i="9"/>
  <c r="W31" i="9"/>
  <c r="W7" i="9"/>
  <c r="J8" i="9"/>
  <c r="N49" i="9"/>
  <c r="H19" i="9"/>
  <c r="H44" i="9"/>
  <c r="L6" i="9"/>
  <c r="L49" i="9"/>
  <c r="V9" i="9"/>
  <c r="D172" i="9" s="1"/>
  <c r="U49" i="9"/>
  <c r="S16" i="9"/>
  <c r="S59" i="9" s="1"/>
  <c r="W34" i="9"/>
  <c r="N50" i="9"/>
  <c r="J34" i="9"/>
  <c r="N43" i="9"/>
  <c r="N8" i="9"/>
  <c r="H37" i="9"/>
  <c r="H50" i="9"/>
  <c r="U44" i="9"/>
  <c r="U37" i="9"/>
  <c r="J35" i="9"/>
  <c r="J10" i="9"/>
  <c r="N21" i="9"/>
  <c r="P39" i="9"/>
  <c r="S46" i="9"/>
  <c r="H49" i="9"/>
  <c r="H39" i="9"/>
  <c r="L7" i="9"/>
  <c r="F22" i="9"/>
  <c r="S9" i="9"/>
  <c r="J37" i="9"/>
  <c r="V37" i="9" s="1"/>
  <c r="D141" i="9" s="1"/>
  <c r="N36" i="9"/>
  <c r="M57" i="9"/>
  <c r="S51" i="9"/>
  <c r="S69" i="9" s="1"/>
  <c r="P19" i="9"/>
  <c r="P21" i="9"/>
  <c r="P35" i="9"/>
  <c r="H38" i="9"/>
  <c r="H22" i="9"/>
  <c r="H42" i="9"/>
  <c r="L48" i="9"/>
  <c r="U19" i="9"/>
  <c r="E60" i="9"/>
  <c r="F47" i="9"/>
  <c r="M68" i="9"/>
  <c r="U50" i="9"/>
  <c r="W40" i="9"/>
  <c r="H47" i="9"/>
  <c r="L60" i="9"/>
  <c r="I65" i="9"/>
  <c r="J19" i="9"/>
  <c r="H36" i="9"/>
  <c r="H21" i="9"/>
  <c r="G68" i="9"/>
  <c r="H33" i="9"/>
  <c r="S49" i="9"/>
  <c r="U11" i="9"/>
  <c r="U58" i="9" s="1"/>
  <c r="E58" i="9"/>
  <c r="U10" i="9"/>
  <c r="K68" i="9"/>
  <c r="M66" i="9"/>
  <c r="L108" i="9"/>
  <c r="N218" i="9" s="1"/>
  <c r="M218" i="9"/>
  <c r="U26" i="9"/>
  <c r="U63" i="9" s="1"/>
  <c r="E63" i="9"/>
  <c r="U33" i="9"/>
  <c r="P6" i="9"/>
  <c r="N10" i="9"/>
  <c r="K57" i="9"/>
  <c r="U21" i="9"/>
  <c r="U20" i="9"/>
  <c r="J39" i="9"/>
  <c r="E67" i="9"/>
  <c r="U40" i="9"/>
  <c r="U67" i="9" s="1"/>
  <c r="J33" i="9"/>
  <c r="N44" i="9"/>
  <c r="H45" i="9"/>
  <c r="J7" i="9"/>
  <c r="N45" i="9"/>
  <c r="H48" i="9"/>
  <c r="N41" i="9"/>
  <c r="Q65" i="9"/>
  <c r="L47" i="9"/>
  <c r="U48" i="9"/>
  <c r="S6" i="9"/>
  <c r="S33" i="9"/>
  <c r="K60" i="9"/>
  <c r="S19" i="9"/>
  <c r="Q68" i="9"/>
  <c r="S41" i="9"/>
  <c r="K66" i="9"/>
  <c r="E57" i="9"/>
  <c r="U6" i="9"/>
  <c r="E62" i="9"/>
  <c r="U24" i="9"/>
  <c r="U62" i="9" s="1"/>
  <c r="E64" i="9"/>
  <c r="U31" i="9"/>
  <c r="U64" i="9" s="1"/>
  <c r="N42" i="9"/>
  <c r="N35" i="9"/>
  <c r="G60" i="9"/>
  <c r="F21" i="9"/>
  <c r="U43" i="9"/>
  <c r="W16" i="9"/>
  <c r="U42" i="9"/>
  <c r="S39" i="9"/>
  <c r="L41" i="9"/>
  <c r="S21" i="9"/>
  <c r="Q66" i="9"/>
  <c r="U22" i="9"/>
  <c r="U8" i="9"/>
  <c r="H8" i="9"/>
  <c r="N34" i="9"/>
  <c r="N48" i="9"/>
  <c r="N39" i="9"/>
  <c r="O60" i="9"/>
  <c r="W11" i="9"/>
  <c r="U47" i="9"/>
  <c r="E59" i="9"/>
  <c r="U16" i="9"/>
  <c r="U59" i="9" s="1"/>
  <c r="U36" i="9"/>
  <c r="U35" i="9"/>
  <c r="L113" i="9"/>
  <c r="N223" i="9" s="1"/>
  <c r="M223" i="9"/>
  <c r="L9" i="9"/>
  <c r="W26" i="9"/>
  <c r="R36" i="9"/>
  <c r="E66" i="9"/>
  <c r="U34" i="9"/>
  <c r="W6" i="9"/>
  <c r="I60" i="9"/>
  <c r="N7" i="9"/>
  <c r="R48" i="9"/>
  <c r="R50" i="9"/>
  <c r="R41" i="9"/>
  <c r="W41" i="9"/>
  <c r="U23" i="9"/>
  <c r="U61" i="9" s="1"/>
  <c r="E61" i="9"/>
  <c r="S38" i="9"/>
  <c r="I68" i="9"/>
  <c r="J43" i="1" l="1"/>
  <c r="H43" i="1" s="1"/>
  <c r="D31" i="9" s="1"/>
  <c r="J46" i="1"/>
  <c r="J18" i="1"/>
  <c r="J38" i="1"/>
  <c r="J44" i="1"/>
  <c r="J35" i="1"/>
  <c r="J23" i="1"/>
  <c r="J36" i="1"/>
  <c r="J53" i="1"/>
  <c r="J63" i="1"/>
  <c r="H63" i="1" s="1"/>
  <c r="D51" i="9" s="1"/>
  <c r="J28" i="1"/>
  <c r="J31" i="1"/>
  <c r="J52" i="1"/>
  <c r="H52" i="1" s="1"/>
  <c r="D40" i="9" s="1"/>
  <c r="Y48" i="9"/>
  <c r="V43" i="9"/>
  <c r="D147" i="9" s="1"/>
  <c r="Y47" i="9"/>
  <c r="L66" i="9"/>
  <c r="V42" i="9"/>
  <c r="D146" i="9" s="1"/>
  <c r="Y7" i="9"/>
  <c r="J68" i="9"/>
  <c r="Y8" i="9"/>
  <c r="Y20" i="9"/>
  <c r="Y50" i="9"/>
  <c r="Y42" i="9"/>
  <c r="Y10" i="9"/>
  <c r="Y19" i="9"/>
  <c r="Y39" i="9"/>
  <c r="Y46" i="9"/>
  <c r="Y33" i="9"/>
  <c r="W63" i="9"/>
  <c r="Y26" i="9"/>
  <c r="S60" i="9"/>
  <c r="W62" i="9"/>
  <c r="Y24" i="9"/>
  <c r="W69" i="9"/>
  <c r="Y51" i="9"/>
  <c r="W61" i="9"/>
  <c r="Y23" i="9"/>
  <c r="Y37" i="9"/>
  <c r="Y9" i="9"/>
  <c r="W68" i="9"/>
  <c r="Y41" i="9"/>
  <c r="W58" i="9"/>
  <c r="Y11" i="9"/>
  <c r="U52" i="9"/>
  <c r="S52" i="9"/>
  <c r="V10" i="9"/>
  <c r="D173" i="9" s="1"/>
  <c r="V8" i="9"/>
  <c r="D171" i="9" s="1"/>
  <c r="W65" i="9"/>
  <c r="Y32" i="9"/>
  <c r="Y38" i="9"/>
  <c r="Y45" i="9"/>
  <c r="V38" i="9"/>
  <c r="D183" i="9" s="1"/>
  <c r="Y35" i="9"/>
  <c r="F66" i="9"/>
  <c r="Y6" i="9"/>
  <c r="W52" i="9"/>
  <c r="P57" i="9"/>
  <c r="P52" i="9"/>
  <c r="Y34" i="9"/>
  <c r="W64" i="9"/>
  <c r="Y31" i="9"/>
  <c r="W59" i="9"/>
  <c r="Y16" i="9"/>
  <c r="W67" i="9"/>
  <c r="Y40" i="9"/>
  <c r="N60" i="9"/>
  <c r="L52" i="9"/>
  <c r="N65" i="9"/>
  <c r="Y43" i="9"/>
  <c r="Y44" i="9"/>
  <c r="Y36" i="9"/>
  <c r="Y22" i="9"/>
  <c r="W60" i="9"/>
  <c r="Y21" i="9"/>
  <c r="Y49" i="9"/>
  <c r="R66" i="9"/>
  <c r="Q70" i="9"/>
  <c r="V50" i="9"/>
  <c r="D154" i="9" s="1"/>
  <c r="S68" i="9"/>
  <c r="V45" i="9"/>
  <c r="D149" i="9" s="1"/>
  <c r="V33" i="9"/>
  <c r="D182" i="9" s="1"/>
  <c r="V47" i="9"/>
  <c r="D151" i="9" s="1"/>
  <c r="V49" i="9"/>
  <c r="D153" i="9" s="1"/>
  <c r="O70" i="9"/>
  <c r="V44" i="9"/>
  <c r="D148" i="9" s="1"/>
  <c r="V39" i="9"/>
  <c r="D184" i="9" s="1"/>
  <c r="N66" i="9"/>
  <c r="H68" i="9"/>
  <c r="J65" i="9"/>
  <c r="J99" i="9" s="1"/>
  <c r="J225" i="9" s="1"/>
  <c r="G70" i="9"/>
  <c r="V7" i="9"/>
  <c r="D170" i="9" s="1"/>
  <c r="J60" i="9"/>
  <c r="F68" i="9"/>
  <c r="V46" i="9"/>
  <c r="D150" i="9" s="1"/>
  <c r="R68" i="9"/>
  <c r="I70" i="9"/>
  <c r="V48" i="9"/>
  <c r="D152" i="9" s="1"/>
  <c r="V21" i="9"/>
  <c r="D135" i="9" s="1"/>
  <c r="U57" i="9"/>
  <c r="V41" i="9"/>
  <c r="D145" i="9" s="1"/>
  <c r="P66" i="9"/>
  <c r="W66" i="9"/>
  <c r="S66" i="9"/>
  <c r="S57" i="9"/>
  <c r="H60" i="9"/>
  <c r="E70" i="9"/>
  <c r="L99" i="9"/>
  <c r="F6" i="9"/>
  <c r="F52" i="9" s="1"/>
  <c r="U66" i="9"/>
  <c r="L68" i="9"/>
  <c r="R6" i="9"/>
  <c r="N6" i="9"/>
  <c r="V35" i="9"/>
  <c r="D139" i="9" s="1"/>
  <c r="U60" i="9"/>
  <c r="V22" i="9"/>
  <c r="D175" i="9" s="1"/>
  <c r="U65" i="9"/>
  <c r="S65" i="9"/>
  <c r="H66" i="9"/>
  <c r="N68" i="9"/>
  <c r="J6" i="9"/>
  <c r="V36" i="9"/>
  <c r="D140" i="9" s="1"/>
  <c r="J66" i="9"/>
  <c r="W57" i="9"/>
  <c r="U68" i="9"/>
  <c r="H6" i="9"/>
  <c r="K70" i="9"/>
  <c r="V34" i="9"/>
  <c r="P60" i="9"/>
  <c r="M70" i="9"/>
  <c r="L57" i="9"/>
  <c r="V19" i="9"/>
  <c r="F60" i="9"/>
  <c r="D142" i="9"/>
  <c r="H65" i="9"/>
  <c r="H25" i="1" l="1"/>
  <c r="D13" i="9" s="1"/>
  <c r="H30" i="1"/>
  <c r="D18" i="9" s="1"/>
  <c r="H41" i="1"/>
  <c r="D29" i="9" s="1"/>
  <c r="J64" i="1"/>
  <c r="H20" i="1"/>
  <c r="D8" i="9" s="1"/>
  <c r="H21" i="1"/>
  <c r="D9" i="9" s="1"/>
  <c r="H18" i="1"/>
  <c r="H22" i="1"/>
  <c r="D10" i="9" s="1"/>
  <c r="H19" i="1"/>
  <c r="D7" i="9" s="1"/>
  <c r="D67" i="9"/>
  <c r="T40" i="9"/>
  <c r="X40" i="9"/>
  <c r="H34" i="1"/>
  <c r="D22" i="9" s="1"/>
  <c r="H31" i="1"/>
  <c r="D19" i="9" s="1"/>
  <c r="H33" i="1"/>
  <c r="D21" i="9" s="1"/>
  <c r="H32" i="1"/>
  <c r="D20" i="9" s="1"/>
  <c r="D69" i="9"/>
  <c r="X51" i="9"/>
  <c r="T51" i="9"/>
  <c r="H55" i="1"/>
  <c r="D43" i="9" s="1"/>
  <c r="H61" i="1"/>
  <c r="D49" i="9" s="1"/>
  <c r="H60" i="1"/>
  <c r="D48" i="9" s="1"/>
  <c r="H54" i="1"/>
  <c r="D42" i="9" s="1"/>
  <c r="H57" i="1"/>
  <c r="D45" i="9" s="1"/>
  <c r="H59" i="1"/>
  <c r="D47" i="9" s="1"/>
  <c r="H62" i="1"/>
  <c r="D50" i="9" s="1"/>
  <c r="H56" i="1"/>
  <c r="D44" i="9" s="1"/>
  <c r="H53" i="1"/>
  <c r="D41" i="9" s="1"/>
  <c r="H58" i="1"/>
  <c r="D46" i="9" s="1"/>
  <c r="H26" i="1"/>
  <c r="D14" i="9" s="1"/>
  <c r="H44" i="1"/>
  <c r="D32" i="9" s="1"/>
  <c r="H45" i="1"/>
  <c r="D33" i="9" s="1"/>
  <c r="H24" i="1"/>
  <c r="D12" i="9" s="1"/>
  <c r="H46" i="1"/>
  <c r="D34" i="9" s="1"/>
  <c r="H50" i="1"/>
  <c r="D38" i="9" s="1"/>
  <c r="H48" i="1"/>
  <c r="D36" i="9" s="1"/>
  <c r="H47" i="1"/>
  <c r="D35" i="9" s="1"/>
  <c r="H49" i="1"/>
  <c r="D37" i="9" s="1"/>
  <c r="H51" i="1"/>
  <c r="D39" i="9" s="1"/>
  <c r="D64" i="9"/>
  <c r="T31" i="9"/>
  <c r="X31" i="9"/>
  <c r="H28" i="1"/>
  <c r="D16" i="9" s="1"/>
  <c r="H42" i="1"/>
  <c r="D30" i="9" s="1"/>
  <c r="H27" i="1"/>
  <c r="D15" i="9" s="1"/>
  <c r="H23" i="1"/>
  <c r="D11" i="9" s="1"/>
  <c r="H36" i="1"/>
  <c r="D24" i="9" s="1"/>
  <c r="H40" i="1"/>
  <c r="D28" i="9" s="1"/>
  <c r="H29" i="1"/>
  <c r="D17" i="9" s="1"/>
  <c r="H37" i="1"/>
  <c r="D25" i="9" s="1"/>
  <c r="H38" i="1"/>
  <c r="D26" i="9" s="1"/>
  <c r="H35" i="1"/>
  <c r="D23" i="9" s="1"/>
  <c r="H39" i="1"/>
  <c r="D27" i="9" s="1"/>
  <c r="I102" i="9"/>
  <c r="H57" i="9"/>
  <c r="H70" i="9" s="1"/>
  <c r="H52" i="9"/>
  <c r="R57" i="9"/>
  <c r="R52" i="9"/>
  <c r="I99" i="9"/>
  <c r="I115" i="9" s="1"/>
  <c r="U70" i="9"/>
  <c r="K99" i="9"/>
  <c r="K100" i="9"/>
  <c r="J57" i="9"/>
  <c r="J70" i="9" s="1"/>
  <c r="J52" i="9"/>
  <c r="N57" i="9"/>
  <c r="N52" i="9"/>
  <c r="Y52" i="9"/>
  <c r="V65" i="9"/>
  <c r="W70" i="9"/>
  <c r="D155" i="9"/>
  <c r="J102" i="9"/>
  <c r="J228" i="9" s="1"/>
  <c r="V68" i="9"/>
  <c r="N70" i="9"/>
  <c r="L102" i="9"/>
  <c r="I118" i="9" s="1"/>
  <c r="L70" i="9"/>
  <c r="K102" i="9"/>
  <c r="Q102" i="9" s="1"/>
  <c r="L100" i="9"/>
  <c r="J116" i="9" s="1"/>
  <c r="L226" i="9" s="1"/>
  <c r="J100" i="9"/>
  <c r="J226" i="9" s="1"/>
  <c r="R70" i="9"/>
  <c r="S70" i="9"/>
  <c r="K94" i="9"/>
  <c r="J94" i="9"/>
  <c r="J220" i="9" s="1"/>
  <c r="I94" i="9"/>
  <c r="L94" i="9"/>
  <c r="V6" i="9"/>
  <c r="V52" i="9" s="1"/>
  <c r="F57" i="9"/>
  <c r="D138" i="9"/>
  <c r="V66" i="9"/>
  <c r="I228" i="9"/>
  <c r="S102" i="9"/>
  <c r="P70" i="9"/>
  <c r="J115" i="9"/>
  <c r="L225" i="9" s="1"/>
  <c r="I100" i="9"/>
  <c r="J118" i="9"/>
  <c r="L228" i="9" s="1"/>
  <c r="D134" i="9"/>
  <c r="V60" i="9"/>
  <c r="K226" i="9" l="1"/>
  <c r="V100" i="9"/>
  <c r="H118" i="9"/>
  <c r="K228" i="9"/>
  <c r="V102" i="9"/>
  <c r="K225" i="9"/>
  <c r="V99" i="9"/>
  <c r="H115" i="9"/>
  <c r="V94" i="9"/>
  <c r="T27" i="9"/>
  <c r="C136" i="9" s="1"/>
  <c r="X27" i="9"/>
  <c r="D61" i="9"/>
  <c r="T23" i="9"/>
  <c r="X23" i="9"/>
  <c r="T17" i="9"/>
  <c r="X17" i="9"/>
  <c r="D62" i="9"/>
  <c r="X24" i="9"/>
  <c r="T24" i="9"/>
  <c r="X30" i="9"/>
  <c r="T30" i="9"/>
  <c r="C180" i="9" s="1"/>
  <c r="T39" i="9"/>
  <c r="C184" i="9" s="1"/>
  <c r="X39" i="9"/>
  <c r="T38" i="9"/>
  <c r="C183" i="9" s="1"/>
  <c r="X38" i="9"/>
  <c r="X33" i="9"/>
  <c r="T33" i="9"/>
  <c r="C182" i="9" s="1"/>
  <c r="T14" i="9"/>
  <c r="X14" i="9"/>
  <c r="T44" i="9"/>
  <c r="C148" i="9" s="1"/>
  <c r="X44" i="9"/>
  <c r="X42" i="9"/>
  <c r="T42" i="9"/>
  <c r="C146" i="9" s="1"/>
  <c r="T69" i="9"/>
  <c r="E87" i="9" s="1"/>
  <c r="C186" i="9"/>
  <c r="X21" i="9"/>
  <c r="T21" i="9"/>
  <c r="C135" i="9" s="1"/>
  <c r="C185" i="9"/>
  <c r="T67" i="9"/>
  <c r="E85" i="9" s="1"/>
  <c r="X9" i="9"/>
  <c r="T9" i="9"/>
  <c r="C172" i="9" s="1"/>
  <c r="C195" i="9" s="1"/>
  <c r="X26" i="9"/>
  <c r="T26" i="9"/>
  <c r="D63" i="9"/>
  <c r="X11" i="9"/>
  <c r="D58" i="9"/>
  <c r="T11" i="9"/>
  <c r="E98" i="9"/>
  <c r="D224" i="9" s="1"/>
  <c r="F98" i="9"/>
  <c r="D98" i="9"/>
  <c r="G98" i="9"/>
  <c r="F82" i="9"/>
  <c r="G82" i="9"/>
  <c r="H82" i="9"/>
  <c r="X36" i="9"/>
  <c r="T36" i="9"/>
  <c r="C140" i="9" s="1"/>
  <c r="D68" i="9"/>
  <c r="X41" i="9"/>
  <c r="T41" i="9"/>
  <c r="X45" i="9"/>
  <c r="T45" i="9"/>
  <c r="C149" i="9" s="1"/>
  <c r="T43" i="9"/>
  <c r="C147" i="9" s="1"/>
  <c r="X43" i="9"/>
  <c r="X20" i="9"/>
  <c r="T20" i="9"/>
  <c r="C174" i="9" s="1"/>
  <c r="X67" i="9"/>
  <c r="Z40" i="9"/>
  <c r="E185" i="9"/>
  <c r="H64" i="1"/>
  <c r="D6" i="9"/>
  <c r="T13" i="9"/>
  <c r="X13" i="9"/>
  <c r="T25" i="9"/>
  <c r="X25" i="9"/>
  <c r="X28" i="9"/>
  <c r="T28" i="9"/>
  <c r="C137" i="9" s="1"/>
  <c r="T15" i="9"/>
  <c r="X15" i="9"/>
  <c r="X16" i="9"/>
  <c r="T16" i="9"/>
  <c r="D59" i="9"/>
  <c r="C181" i="9"/>
  <c r="T64" i="9"/>
  <c r="E82" i="9" s="1"/>
  <c r="T35" i="9"/>
  <c r="C139" i="9" s="1"/>
  <c r="X35" i="9"/>
  <c r="T12" i="9"/>
  <c r="X12" i="9"/>
  <c r="X46" i="9"/>
  <c r="T46" i="9"/>
  <c r="C150" i="9" s="1"/>
  <c r="X47" i="9"/>
  <c r="T47" i="9"/>
  <c r="C151" i="9" s="1"/>
  <c r="X49" i="9"/>
  <c r="T49" i="9"/>
  <c r="C153" i="9" s="1"/>
  <c r="E103" i="9"/>
  <c r="D229" i="9" s="1"/>
  <c r="F87" i="9"/>
  <c r="F103" i="9"/>
  <c r="D103" i="9"/>
  <c r="G87" i="9"/>
  <c r="H87" i="9"/>
  <c r="G103" i="9"/>
  <c r="T22" i="9"/>
  <c r="C175" i="9" s="1"/>
  <c r="X22" i="9"/>
  <c r="X10" i="9"/>
  <c r="T10" i="9"/>
  <c r="C173" i="9" s="1"/>
  <c r="C196" i="9" s="1"/>
  <c r="X64" i="9"/>
  <c r="E181" i="9"/>
  <c r="Z31" i="9"/>
  <c r="T37" i="9"/>
  <c r="C141" i="9" s="1"/>
  <c r="X37" i="9"/>
  <c r="D66" i="9"/>
  <c r="T34" i="9"/>
  <c r="X34" i="9"/>
  <c r="D65" i="9"/>
  <c r="X32" i="9"/>
  <c r="T32" i="9"/>
  <c r="X50" i="9"/>
  <c r="T50" i="9"/>
  <c r="C154" i="9" s="1"/>
  <c r="X48" i="9"/>
  <c r="T48" i="9"/>
  <c r="C152" i="9" s="1"/>
  <c r="E186" i="9"/>
  <c r="Z51" i="9"/>
  <c r="X69" i="9"/>
  <c r="D60" i="9"/>
  <c r="T19" i="9"/>
  <c r="X19" i="9"/>
  <c r="G101" i="9"/>
  <c r="G85" i="9"/>
  <c r="F101" i="9"/>
  <c r="D101" i="9"/>
  <c r="F85" i="9"/>
  <c r="H85" i="9"/>
  <c r="E101" i="9"/>
  <c r="D227" i="9" s="1"/>
  <c r="X7" i="9"/>
  <c r="T7" i="9"/>
  <c r="C170" i="9" s="1"/>
  <c r="C193" i="9" s="1"/>
  <c r="X8" i="9"/>
  <c r="T8" i="9"/>
  <c r="C171" i="9" s="1"/>
  <c r="C194" i="9" s="1"/>
  <c r="X29" i="9"/>
  <c r="T29" i="9"/>
  <c r="C179" i="9" s="1"/>
  <c r="X18" i="9"/>
  <c r="T18" i="9"/>
  <c r="P102" i="9"/>
  <c r="M102" i="9"/>
  <c r="D143" i="9"/>
  <c r="D156" i="9" s="1"/>
  <c r="Q99" i="9"/>
  <c r="S99" i="9"/>
  <c r="P99" i="9"/>
  <c r="M99" i="9"/>
  <c r="I225" i="9"/>
  <c r="K115" i="9"/>
  <c r="M225" i="9" s="1"/>
  <c r="K118" i="9"/>
  <c r="M228" i="9" s="1"/>
  <c r="M94" i="9"/>
  <c r="J110" i="9"/>
  <c r="L220" i="9" s="1"/>
  <c r="I226" i="9"/>
  <c r="S100" i="9"/>
  <c r="I116" i="9"/>
  <c r="H116" i="9"/>
  <c r="P100" i="9"/>
  <c r="S94" i="9"/>
  <c r="P94" i="9"/>
  <c r="I220" i="9"/>
  <c r="H110" i="9"/>
  <c r="I110" i="9"/>
  <c r="I91" i="9"/>
  <c r="F70" i="9"/>
  <c r="A57" i="9"/>
  <c r="J91" i="9"/>
  <c r="J217" i="9" s="1"/>
  <c r="L91" i="9"/>
  <c r="K91" i="9"/>
  <c r="M100" i="9"/>
  <c r="V57" i="9"/>
  <c r="V70" i="9" s="1"/>
  <c r="D169" i="9"/>
  <c r="D187" i="9" s="1"/>
  <c r="K220" i="9"/>
  <c r="Q94" i="9"/>
  <c r="Q100" i="9"/>
  <c r="P91" i="9" l="1"/>
  <c r="V91" i="9"/>
  <c r="Q91" i="9"/>
  <c r="H101" i="9"/>
  <c r="E117" i="9"/>
  <c r="F227" i="9" s="1"/>
  <c r="E152" i="9"/>
  <c r="Z48" i="9"/>
  <c r="E142" i="9"/>
  <c r="X65" i="9"/>
  <c r="Z32" i="9"/>
  <c r="H84" i="9"/>
  <c r="E100" i="9"/>
  <c r="D226" i="9" s="1"/>
  <c r="F100" i="9"/>
  <c r="D100" i="9"/>
  <c r="F84" i="9"/>
  <c r="G100" i="9"/>
  <c r="G84" i="9"/>
  <c r="Z22" i="9"/>
  <c r="E175" i="9"/>
  <c r="E151" i="9"/>
  <c r="Z47" i="9"/>
  <c r="Z35" i="9"/>
  <c r="E139" i="9"/>
  <c r="E93" i="9"/>
  <c r="D219" i="9" s="1"/>
  <c r="F77" i="9"/>
  <c r="F93" i="9"/>
  <c r="D93" i="9"/>
  <c r="H77" i="9"/>
  <c r="G93" i="9"/>
  <c r="G77" i="9"/>
  <c r="C130" i="9"/>
  <c r="C202" i="9"/>
  <c r="C177" i="9"/>
  <c r="C207" i="9"/>
  <c r="Z68" i="9"/>
  <c r="D102" i="9"/>
  <c r="G102" i="9"/>
  <c r="F86" i="9"/>
  <c r="H86" i="9"/>
  <c r="E102" i="9"/>
  <c r="D228" i="9" s="1"/>
  <c r="G86" i="9"/>
  <c r="A68" i="9"/>
  <c r="F102" i="9"/>
  <c r="P82" i="9"/>
  <c r="R82" i="9"/>
  <c r="E224" i="9"/>
  <c r="O98" i="9"/>
  <c r="U98" i="9"/>
  <c r="Z11" i="9"/>
  <c r="E129" i="9"/>
  <c r="X58" i="9"/>
  <c r="P87" i="9"/>
  <c r="K87" i="9"/>
  <c r="S87" i="9"/>
  <c r="Q87" i="9"/>
  <c r="J87" i="9"/>
  <c r="O87" i="9"/>
  <c r="E182" i="9"/>
  <c r="Z33" i="9"/>
  <c r="E176" i="9"/>
  <c r="Z24" i="9"/>
  <c r="X62" i="9"/>
  <c r="Z23" i="9"/>
  <c r="E144" i="9"/>
  <c r="X61" i="9"/>
  <c r="R87" i="9"/>
  <c r="Z18" i="9"/>
  <c r="E133" i="9"/>
  <c r="E171" i="9"/>
  <c r="Z8" i="9"/>
  <c r="L85" i="9"/>
  <c r="I85" i="9"/>
  <c r="P85" i="9"/>
  <c r="R85" i="9"/>
  <c r="G94" i="9"/>
  <c r="F78" i="9"/>
  <c r="H78" i="9"/>
  <c r="G78" i="9"/>
  <c r="E94" i="9"/>
  <c r="D220" i="9" s="1"/>
  <c r="D94" i="9"/>
  <c r="F94" i="9"/>
  <c r="C142" i="9"/>
  <c r="C161" i="9" s="1"/>
  <c r="T65" i="9"/>
  <c r="E83" i="9" s="1"/>
  <c r="C138" i="9"/>
  <c r="T66" i="9"/>
  <c r="E84" i="9" s="1"/>
  <c r="E173" i="9"/>
  <c r="Z10" i="9"/>
  <c r="L87" i="9"/>
  <c r="I87" i="9"/>
  <c r="C199" i="9"/>
  <c r="C126" i="9"/>
  <c r="Z15" i="9"/>
  <c r="E130" i="9"/>
  <c r="Z25" i="9"/>
  <c r="E177" i="9"/>
  <c r="D52" i="9"/>
  <c r="D57" i="9"/>
  <c r="X6" i="9"/>
  <c r="T6" i="9"/>
  <c r="E145" i="9"/>
  <c r="Z41" i="9"/>
  <c r="X68" i="9"/>
  <c r="L82" i="9"/>
  <c r="I82" i="9"/>
  <c r="T98" i="9"/>
  <c r="R98" i="9"/>
  <c r="D114" i="9"/>
  <c r="C224" i="9"/>
  <c r="C114" i="9"/>
  <c r="N98" i="9"/>
  <c r="G76" i="9"/>
  <c r="F76" i="9"/>
  <c r="H76" i="9"/>
  <c r="G92" i="9"/>
  <c r="E92" i="9"/>
  <c r="D218" i="9" s="1"/>
  <c r="D92" i="9"/>
  <c r="F92" i="9"/>
  <c r="E178" i="9"/>
  <c r="X63" i="9"/>
  <c r="Z26" i="9"/>
  <c r="O85" i="9"/>
  <c r="Q85" i="9"/>
  <c r="S85" i="9"/>
  <c r="K85" i="9"/>
  <c r="J85" i="9"/>
  <c r="E148" i="9"/>
  <c r="Z44" i="9"/>
  <c r="Z39" i="9"/>
  <c r="E184" i="9"/>
  <c r="C176" i="9"/>
  <c r="T62" i="9"/>
  <c r="E80" i="9" s="1"/>
  <c r="C206" i="9"/>
  <c r="C204" i="9"/>
  <c r="C132" i="9"/>
  <c r="E136" i="9"/>
  <c r="Z27" i="9"/>
  <c r="C205" i="9"/>
  <c r="C133" i="9"/>
  <c r="E227" i="9"/>
  <c r="U101" i="9"/>
  <c r="O101" i="9"/>
  <c r="T60" i="9"/>
  <c r="E78" i="9" s="1"/>
  <c r="C134" i="9"/>
  <c r="E154" i="9"/>
  <c r="Z50" i="9"/>
  <c r="E138" i="9"/>
  <c r="Z34" i="9"/>
  <c r="X66" i="9"/>
  <c r="E119" i="9"/>
  <c r="F229" i="9" s="1"/>
  <c r="H103" i="9"/>
  <c r="U103" i="9"/>
  <c r="O103" i="9"/>
  <c r="E229" i="9"/>
  <c r="Z49" i="9"/>
  <c r="E153" i="9"/>
  <c r="Z46" i="9"/>
  <c r="E150" i="9"/>
  <c r="Z12" i="9"/>
  <c r="E126" i="9"/>
  <c r="O82" i="9"/>
  <c r="Q82" i="9"/>
  <c r="S82" i="9"/>
  <c r="K82" i="9"/>
  <c r="J82" i="9"/>
  <c r="X59" i="9"/>
  <c r="Z16" i="9"/>
  <c r="E131" i="9"/>
  <c r="Z28" i="9"/>
  <c r="E137" i="9"/>
  <c r="C127" i="9"/>
  <c r="C200" i="9"/>
  <c r="Z43" i="9"/>
  <c r="E147" i="9"/>
  <c r="T68" i="9"/>
  <c r="E86" i="9" s="1"/>
  <c r="C145" i="9"/>
  <c r="C163" i="9" s="1"/>
  <c r="E140" i="9"/>
  <c r="Z36" i="9"/>
  <c r="E114" i="9"/>
  <c r="F224" i="9" s="1"/>
  <c r="H98" i="9"/>
  <c r="C198" i="9"/>
  <c r="C129" i="9"/>
  <c r="T58" i="9"/>
  <c r="E76" i="9" s="1"/>
  <c r="T63" i="9"/>
  <c r="E81" i="9" s="1"/>
  <c r="C178" i="9"/>
  <c r="E172" i="9"/>
  <c r="Z9" i="9"/>
  <c r="Z21" i="9"/>
  <c r="E135" i="9"/>
  <c r="E146" i="9"/>
  <c r="Z42" i="9"/>
  <c r="C201" i="9"/>
  <c r="C128" i="9"/>
  <c r="E180" i="9"/>
  <c r="Z30" i="9"/>
  <c r="Z17" i="9"/>
  <c r="E132" i="9"/>
  <c r="G79" i="9"/>
  <c r="H79" i="9"/>
  <c r="G95" i="9"/>
  <c r="E95" i="9"/>
  <c r="D221" i="9" s="1"/>
  <c r="F79" i="9"/>
  <c r="F95" i="9"/>
  <c r="D95" i="9"/>
  <c r="Z29" i="9"/>
  <c r="E179" i="9"/>
  <c r="E170" i="9"/>
  <c r="Z7" i="9"/>
  <c r="T101" i="9"/>
  <c r="R101" i="9"/>
  <c r="C117" i="9"/>
  <c r="C227" i="9"/>
  <c r="D117" i="9"/>
  <c r="N101" i="9"/>
  <c r="Z19" i="9"/>
  <c r="X60" i="9"/>
  <c r="E134" i="9"/>
  <c r="F99" i="9"/>
  <c r="G83" i="9"/>
  <c r="D99" i="9"/>
  <c r="E99" i="9"/>
  <c r="D225" i="9" s="1"/>
  <c r="F83" i="9"/>
  <c r="H83" i="9"/>
  <c r="G99" i="9"/>
  <c r="E141" i="9"/>
  <c r="Z37" i="9"/>
  <c r="R103" i="9"/>
  <c r="T103" i="9"/>
  <c r="C229" i="9"/>
  <c r="D119" i="9"/>
  <c r="N103" i="9"/>
  <c r="C119" i="9"/>
  <c r="C203" i="9"/>
  <c r="C131" i="9"/>
  <c r="T59" i="9"/>
  <c r="E77" i="9" s="1"/>
  <c r="Z13" i="9"/>
  <c r="E127" i="9"/>
  <c r="E174" i="9"/>
  <c r="Z20" i="9"/>
  <c r="E149" i="9"/>
  <c r="Z45" i="9"/>
  <c r="E97" i="9"/>
  <c r="D223" i="9" s="1"/>
  <c r="G81" i="9"/>
  <c r="F97" i="9"/>
  <c r="G97" i="9"/>
  <c r="D97" i="9"/>
  <c r="H81" i="9"/>
  <c r="F81" i="9"/>
  <c r="Z14" i="9"/>
  <c r="E128" i="9"/>
  <c r="Z38" i="9"/>
  <c r="E183" i="9"/>
  <c r="F96" i="9"/>
  <c r="F80" i="9"/>
  <c r="H80" i="9"/>
  <c r="E96" i="9"/>
  <c r="D222" i="9" s="1"/>
  <c r="G96" i="9"/>
  <c r="G80" i="9"/>
  <c r="D96" i="9"/>
  <c r="C144" i="9"/>
  <c r="T61" i="9"/>
  <c r="E79" i="9" s="1"/>
  <c r="L115" i="9"/>
  <c r="N225" i="9" s="1"/>
  <c r="D188" i="9"/>
  <c r="L118" i="9"/>
  <c r="N228" i="9" s="1"/>
  <c r="K217" i="9"/>
  <c r="K110" i="9"/>
  <c r="M91" i="9"/>
  <c r="J107" i="9"/>
  <c r="L217" i="9" s="1"/>
  <c r="K116" i="9"/>
  <c r="S91" i="9"/>
  <c r="I107" i="9"/>
  <c r="I217" i="9"/>
  <c r="H107" i="9"/>
  <c r="F117" i="9" l="1"/>
  <c r="M85" i="9"/>
  <c r="N85" i="9" s="1"/>
  <c r="R83" i="9"/>
  <c r="F114" i="9"/>
  <c r="U99" i="9"/>
  <c r="E225" i="9"/>
  <c r="O99" i="9"/>
  <c r="P79" i="9"/>
  <c r="R79" i="9"/>
  <c r="I76" i="9"/>
  <c r="L76" i="9"/>
  <c r="F91" i="9"/>
  <c r="D70" i="9"/>
  <c r="E91" i="9"/>
  <c r="D217" i="9" s="1"/>
  <c r="G91" i="9"/>
  <c r="F75" i="9"/>
  <c r="D91" i="9"/>
  <c r="G75" i="9"/>
  <c r="H75" i="9"/>
  <c r="L75" i="9" s="1"/>
  <c r="J84" i="9"/>
  <c r="S84" i="9"/>
  <c r="O84" i="9"/>
  <c r="K84" i="9"/>
  <c r="Q84" i="9"/>
  <c r="E109" i="9"/>
  <c r="F219" i="9" s="1"/>
  <c r="H93" i="9"/>
  <c r="L80" i="9"/>
  <c r="I80" i="9"/>
  <c r="U97" i="9"/>
  <c r="O97" i="9"/>
  <c r="E223" i="9"/>
  <c r="E115" i="9"/>
  <c r="F225" i="9" s="1"/>
  <c r="H99" i="9"/>
  <c r="K79" i="9"/>
  <c r="Q79" i="9"/>
  <c r="J79" i="9"/>
  <c r="S79" i="9"/>
  <c r="O79" i="9"/>
  <c r="H96" i="9"/>
  <c r="E112" i="9"/>
  <c r="F222" i="9" s="1"/>
  <c r="U96" i="9"/>
  <c r="O96" i="9"/>
  <c r="E222" i="9"/>
  <c r="E113" i="9"/>
  <c r="F223" i="9" s="1"/>
  <c r="H97" i="9"/>
  <c r="T92" i="9"/>
  <c r="N92" i="9"/>
  <c r="R92" i="9"/>
  <c r="C218" i="9"/>
  <c r="D108" i="9"/>
  <c r="C108" i="9"/>
  <c r="T94" i="9"/>
  <c r="R94" i="9"/>
  <c r="C110" i="9"/>
  <c r="D110" i="9"/>
  <c r="N94" i="9"/>
  <c r="C220" i="9"/>
  <c r="T102" i="9"/>
  <c r="R102" i="9"/>
  <c r="C118" i="9"/>
  <c r="N102" i="9"/>
  <c r="D118" i="9"/>
  <c r="C228" i="9"/>
  <c r="L77" i="9"/>
  <c r="I77" i="9"/>
  <c r="E116" i="9"/>
  <c r="F226" i="9" s="1"/>
  <c r="H100" i="9"/>
  <c r="F119" i="9"/>
  <c r="M82" i="9"/>
  <c r="N82" i="9" s="1"/>
  <c r="E155" i="9"/>
  <c r="M87" i="9"/>
  <c r="N87" i="9" s="1"/>
  <c r="R80" i="9"/>
  <c r="P80" i="9"/>
  <c r="T97" i="9"/>
  <c r="R97" i="9"/>
  <c r="C223" i="9"/>
  <c r="N97" i="9"/>
  <c r="D113" i="9"/>
  <c r="C113" i="9"/>
  <c r="O92" i="9"/>
  <c r="U92" i="9"/>
  <c r="E218" i="9"/>
  <c r="I78" i="9"/>
  <c r="L78" i="9"/>
  <c r="E118" i="9"/>
  <c r="F228" i="9" s="1"/>
  <c r="H102" i="9"/>
  <c r="R84" i="9"/>
  <c r="P84" i="9"/>
  <c r="U100" i="9"/>
  <c r="E226" i="9"/>
  <c r="O100" i="9"/>
  <c r="T96" i="9"/>
  <c r="D112" i="9"/>
  <c r="R96" i="9"/>
  <c r="C112" i="9"/>
  <c r="C222" i="9"/>
  <c r="N96" i="9"/>
  <c r="P81" i="9"/>
  <c r="R81" i="9"/>
  <c r="I83" i="9"/>
  <c r="L83" i="9"/>
  <c r="G227" i="9"/>
  <c r="G117" i="9"/>
  <c r="H227" i="9" s="1"/>
  <c r="U95" i="9"/>
  <c r="E221" i="9"/>
  <c r="O95" i="9"/>
  <c r="I79" i="9"/>
  <c r="L79" i="9"/>
  <c r="S76" i="9"/>
  <c r="J76" i="9"/>
  <c r="Q76" i="9"/>
  <c r="K76" i="9"/>
  <c r="O76" i="9"/>
  <c r="O86" i="9"/>
  <c r="Q86" i="9"/>
  <c r="J86" i="9"/>
  <c r="S86" i="9"/>
  <c r="K86" i="9"/>
  <c r="J78" i="9"/>
  <c r="Q78" i="9"/>
  <c r="K78" i="9"/>
  <c r="O78" i="9"/>
  <c r="S78" i="9"/>
  <c r="H92" i="9"/>
  <c r="E108" i="9"/>
  <c r="F218" i="9" s="1"/>
  <c r="X57" i="9"/>
  <c r="X70" i="9" s="1"/>
  <c r="Z6" i="9"/>
  <c r="Z52" i="9" s="1"/>
  <c r="E169" i="9"/>
  <c r="E187" i="9" s="1"/>
  <c r="X52" i="9"/>
  <c r="P78" i="9"/>
  <c r="R78" i="9"/>
  <c r="P77" i="9"/>
  <c r="R77" i="9"/>
  <c r="O93" i="9"/>
  <c r="U93" i="9"/>
  <c r="E219" i="9"/>
  <c r="T100" i="9"/>
  <c r="C226" i="9"/>
  <c r="D116" i="9"/>
  <c r="C116" i="9"/>
  <c r="N100" i="9"/>
  <c r="R100" i="9"/>
  <c r="G114" i="9"/>
  <c r="H224" i="9" s="1"/>
  <c r="G224" i="9"/>
  <c r="U94" i="9"/>
  <c r="O94" i="9"/>
  <c r="E220" i="9"/>
  <c r="P86" i="9"/>
  <c r="R86" i="9"/>
  <c r="I81" i="9"/>
  <c r="L81" i="9"/>
  <c r="S77" i="9"/>
  <c r="O77" i="9"/>
  <c r="K77" i="9"/>
  <c r="J77" i="9"/>
  <c r="Q77" i="9"/>
  <c r="C162" i="9"/>
  <c r="C155" i="9"/>
  <c r="T99" i="9"/>
  <c r="N99" i="9"/>
  <c r="C225" i="9"/>
  <c r="R99" i="9"/>
  <c r="D115" i="9"/>
  <c r="C115" i="9"/>
  <c r="T95" i="9"/>
  <c r="R95" i="9"/>
  <c r="C221" i="9"/>
  <c r="N95" i="9"/>
  <c r="C111" i="9"/>
  <c r="D111" i="9"/>
  <c r="H95" i="9"/>
  <c r="E111" i="9"/>
  <c r="F221" i="9" s="1"/>
  <c r="K81" i="9"/>
  <c r="Q81" i="9"/>
  <c r="S81" i="9"/>
  <c r="O81" i="9"/>
  <c r="J81" i="9"/>
  <c r="M81" i="9" s="1"/>
  <c r="N81" i="9" s="1"/>
  <c r="S80" i="9"/>
  <c r="J80" i="9"/>
  <c r="K80" i="9"/>
  <c r="Q80" i="9"/>
  <c r="O80" i="9"/>
  <c r="P76" i="9"/>
  <c r="R76" i="9"/>
  <c r="T57" i="9"/>
  <c r="T52" i="9"/>
  <c r="C169" i="9"/>
  <c r="P83" i="9"/>
  <c r="S83" i="9"/>
  <c r="K83" i="9"/>
  <c r="Q83" i="9"/>
  <c r="J83" i="9"/>
  <c r="O83" i="9"/>
  <c r="H94" i="9"/>
  <c r="E110" i="9"/>
  <c r="F220" i="9" s="1"/>
  <c r="U102" i="9"/>
  <c r="O102" i="9"/>
  <c r="E228" i="9"/>
  <c r="L86" i="9"/>
  <c r="I86" i="9"/>
  <c r="T93" i="9"/>
  <c r="D109" i="9"/>
  <c r="C219" i="9"/>
  <c r="R93" i="9"/>
  <c r="N93" i="9"/>
  <c r="C109" i="9"/>
  <c r="F109" i="9" s="1"/>
  <c r="L84" i="9"/>
  <c r="I84" i="9"/>
  <c r="E143" i="9"/>
  <c r="C143" i="9"/>
  <c r="M226" i="9"/>
  <c r="L116" i="9"/>
  <c r="N226" i="9" s="1"/>
  <c r="K107" i="9"/>
  <c r="L110" i="9"/>
  <c r="N220" i="9" s="1"/>
  <c r="M220" i="9"/>
  <c r="M80" i="9" l="1"/>
  <c r="N80" i="9" s="1"/>
  <c r="M77" i="9"/>
  <c r="N77" i="9" s="1"/>
  <c r="M78" i="9"/>
  <c r="N78" i="9" s="1"/>
  <c r="F112" i="9"/>
  <c r="G112" i="9" s="1"/>
  <c r="H222" i="9" s="1"/>
  <c r="E156" i="9"/>
  <c r="M83" i="9"/>
  <c r="N83" i="9" s="1"/>
  <c r="E188" i="9"/>
  <c r="F113" i="9"/>
  <c r="G223" i="9" s="1"/>
  <c r="F108" i="9"/>
  <c r="M86" i="9"/>
  <c r="N86" i="9" s="1"/>
  <c r="F118" i="9"/>
  <c r="M79" i="9"/>
  <c r="N79" i="9" s="1"/>
  <c r="T70" i="9"/>
  <c r="E75" i="9"/>
  <c r="O91" i="9"/>
  <c r="N91" i="9"/>
  <c r="R91" i="9"/>
  <c r="D107" i="9"/>
  <c r="C217" i="9"/>
  <c r="T91" i="9"/>
  <c r="C107" i="9"/>
  <c r="F111" i="9"/>
  <c r="C156" i="9"/>
  <c r="C158" i="9" s="1"/>
  <c r="C160" i="9"/>
  <c r="G219" i="9"/>
  <c r="G109" i="9"/>
  <c r="H219" i="9" s="1"/>
  <c r="M76" i="9"/>
  <c r="N76" i="9" s="1"/>
  <c r="F110" i="9"/>
  <c r="R75" i="9"/>
  <c r="C187" i="9"/>
  <c r="C192" i="9"/>
  <c r="G222" i="9"/>
  <c r="G113" i="9"/>
  <c r="H223" i="9" s="1"/>
  <c r="G108" i="9"/>
  <c r="H218" i="9" s="1"/>
  <c r="G218" i="9"/>
  <c r="E107" i="9"/>
  <c r="F217" i="9" s="1"/>
  <c r="H91" i="9"/>
  <c r="G229" i="9"/>
  <c r="G119" i="9"/>
  <c r="H229" i="9" s="1"/>
  <c r="U91" i="9"/>
  <c r="E217" i="9"/>
  <c r="F115" i="9"/>
  <c r="F116" i="9"/>
  <c r="M84" i="9"/>
  <c r="N84" i="9" s="1"/>
  <c r="M217" i="9"/>
  <c r="L107" i="9"/>
  <c r="N217" i="9" s="1"/>
  <c r="F107" i="9" l="1"/>
  <c r="G228" i="9"/>
  <c r="G118" i="9"/>
  <c r="H228" i="9" s="1"/>
  <c r="D192" i="9"/>
  <c r="F192" i="9"/>
  <c r="E192" i="9"/>
  <c r="C208" i="9"/>
  <c r="G115" i="9"/>
  <c r="H225" i="9" s="1"/>
  <c r="G225" i="9"/>
  <c r="G116" i="9"/>
  <c r="H226" i="9" s="1"/>
  <c r="G226" i="9"/>
  <c r="G111" i="9"/>
  <c r="H221" i="9" s="1"/>
  <c r="G221" i="9"/>
  <c r="I75" i="9"/>
  <c r="S75" i="9"/>
  <c r="K75" i="9"/>
  <c r="J75" i="9"/>
  <c r="Q75" i="9"/>
  <c r="P75" i="9"/>
  <c r="O75" i="9"/>
  <c r="C188" i="9"/>
  <c r="G220" i="9"/>
  <c r="G110" i="9"/>
  <c r="H220" i="9" s="1"/>
  <c r="G217" i="9" l="1"/>
  <c r="G107" i="9"/>
  <c r="H217" i="9" s="1"/>
  <c r="M75" i="9"/>
  <c r="N75" i="9" s="1"/>
</calcChain>
</file>

<file path=xl/comments1.xml><?xml version="1.0" encoding="utf-8"?>
<comments xmlns="http://schemas.openxmlformats.org/spreadsheetml/2006/main">
  <authors>
    <author>Mélanie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</commentList>
</comments>
</file>

<file path=xl/sharedStrings.xml><?xml version="1.0" encoding="utf-8"?>
<sst xmlns="http://schemas.openxmlformats.org/spreadsheetml/2006/main" count="1844" uniqueCount="307">
  <si>
    <t>Référence de l'échantillon</t>
  </si>
  <si>
    <t>Tournée échantillonnée:</t>
  </si>
  <si>
    <t>Site d'échantillonnage</t>
  </si>
  <si>
    <t>Météo</t>
  </si>
  <si>
    <t>Données sur l'échantillon</t>
  </si>
  <si>
    <t>Date échantillonnage</t>
  </si>
  <si>
    <t>Masse échantillon secondaire</t>
  </si>
  <si>
    <t>kg</t>
  </si>
  <si>
    <t>Heure prélèvement</t>
  </si>
  <si>
    <t>Volume échantillon secondaire</t>
  </si>
  <si>
    <t>m3</t>
  </si>
  <si>
    <t xml:space="preserve">Densité échantillon secondaire </t>
  </si>
  <si>
    <t>T/m3</t>
  </si>
  <si>
    <t>Humidité globale :</t>
  </si>
  <si>
    <t>Résultats du tri l'échantillon</t>
  </si>
  <si>
    <t>Poids sec (g)</t>
  </si>
  <si>
    <t>Poids sec % par sous-catégories</t>
  </si>
  <si>
    <t>Poids humide % par sous-catégories</t>
  </si>
  <si>
    <t>Poids sec % par catégorie</t>
  </si>
  <si>
    <t>Poids humide % par catégorie</t>
  </si>
  <si>
    <t>Catégories</t>
  </si>
  <si>
    <t>Sous-catégories</t>
  </si>
  <si>
    <t>20 à 100 mm</t>
  </si>
  <si>
    <t>100 - 350 mm</t>
  </si>
  <si>
    <t>&gt;350 mm</t>
  </si>
  <si>
    <t>Total</t>
  </si>
  <si>
    <t>Déchets putrescibles</t>
  </si>
  <si>
    <t>Produits alimentaires non consommés</t>
  </si>
  <si>
    <t>Autres putrescibles</t>
  </si>
  <si>
    <t>Déchets de jardins ligneux</t>
  </si>
  <si>
    <t>Déchets de jardins non ligneux</t>
  </si>
  <si>
    <t>Papiers</t>
  </si>
  <si>
    <t>Emballages papier</t>
  </si>
  <si>
    <t>Journaux, magazines et revues</t>
  </si>
  <si>
    <t>Imprimés publicitaires</t>
  </si>
  <si>
    <t>Papiers bureautiques</t>
  </si>
  <si>
    <t xml:space="preserve">Autres papiers </t>
  </si>
  <si>
    <t>Cartons</t>
  </si>
  <si>
    <t>Emballages cartons plats</t>
  </si>
  <si>
    <t>Emballages cartons ondulés</t>
  </si>
  <si>
    <t>Autres cartons</t>
  </si>
  <si>
    <t>Complexes/ Composites</t>
  </si>
  <si>
    <t>Composites ELA (Tetrapack)</t>
  </si>
  <si>
    <t>Autres emballages composites</t>
  </si>
  <si>
    <t>Petits Appareils Electroménagers (PAM)</t>
  </si>
  <si>
    <t>Textiles</t>
  </si>
  <si>
    <t xml:space="preserve">Textiles </t>
  </si>
  <si>
    <t>Textiles sanitaires</t>
  </si>
  <si>
    <t>Textiles sanitaires fraction hygiénique</t>
  </si>
  <si>
    <t>Textiles sanitaires fraction papiers souillés</t>
  </si>
  <si>
    <t>Plastiques</t>
  </si>
  <si>
    <t>Films polyoléfines (PE et PP)</t>
  </si>
  <si>
    <t xml:space="preserve">Bouteilles et flacons en PET </t>
  </si>
  <si>
    <t>Bouteilles et flacons en polyoléfine (PEHD)</t>
  </si>
  <si>
    <t>Autres emballages plastiques</t>
  </si>
  <si>
    <t>Autres plastiques</t>
  </si>
  <si>
    <t>Combustibles non classés</t>
  </si>
  <si>
    <t>Verre</t>
  </si>
  <si>
    <t>Emballages en verre incolores et de couleur</t>
  </si>
  <si>
    <t>Autres déchets en verre</t>
  </si>
  <si>
    <t>Métaux</t>
  </si>
  <si>
    <t>Emballages métaux ferreux hors aérosols</t>
  </si>
  <si>
    <t>Emballages aluminium hors aérosols</t>
  </si>
  <si>
    <t>Aérosols ferreux non dangereux</t>
  </si>
  <si>
    <t>Aérosols aluminium non dangereux</t>
  </si>
  <si>
    <t>Autres métaux ferreux</t>
  </si>
  <si>
    <t xml:space="preserve">Autres métaux </t>
  </si>
  <si>
    <t>Incombustibles non classés</t>
  </si>
  <si>
    <t xml:space="preserve">Emballages incombustibles </t>
  </si>
  <si>
    <t>Déchets ménagers spéciaux</t>
  </si>
  <si>
    <t>Tubes fluorescents et ampoules basse consommation</t>
  </si>
  <si>
    <t>Aérosols dangereux</t>
  </si>
  <si>
    <t>Piles et accumulateurs</t>
  </si>
  <si>
    <t>Autres déchets ménagers spéciaux</t>
  </si>
  <si>
    <t>Eléments fins &lt; 20 mm</t>
  </si>
  <si>
    <t>Répartition fractions granulométriques:</t>
  </si>
  <si>
    <t>Global</t>
  </si>
  <si>
    <t>Moy. Paris</t>
  </si>
  <si>
    <t>Moy. Banlieue</t>
  </si>
  <si>
    <t>Humidité globale</t>
  </si>
  <si>
    <t>sec</t>
  </si>
  <si>
    <t>humide</t>
  </si>
  <si>
    <t>Déchets Putrescibles</t>
  </si>
  <si>
    <t>Composites</t>
  </si>
  <si>
    <t>MODECOM 2007</t>
  </si>
  <si>
    <t>SYCTOM</t>
  </si>
  <si>
    <t>Moyenne</t>
  </si>
  <si>
    <t>Min</t>
  </si>
  <si>
    <t>Max</t>
  </si>
  <si>
    <t>Ecart-type absolu</t>
  </si>
  <si>
    <t>Ecart-type relatif</t>
  </si>
  <si>
    <t>Banlieue</t>
  </si>
  <si>
    <t>Paris</t>
  </si>
  <si>
    <t>Min.</t>
  </si>
  <si>
    <t>Max.</t>
  </si>
  <si>
    <t>Ecart-type</t>
  </si>
  <si>
    <t>OMR</t>
  </si>
  <si>
    <t>Potentiel minimum</t>
  </si>
  <si>
    <t>Potentiel intermédiaire</t>
  </si>
  <si>
    <t>Potentiel maximum</t>
  </si>
  <si>
    <t>moy modecom humide</t>
  </si>
  <si>
    <t>Sous-total autres déchets pouvant être orientés vers d'autres collecte</t>
  </si>
  <si>
    <t>Sous-total déchets visés par les consignes de tri (bac jaune ou bac et colonnes verre)</t>
  </si>
  <si>
    <t>UCL +</t>
  </si>
  <si>
    <t>UCL-</t>
  </si>
  <si>
    <t>UCL</t>
  </si>
  <si>
    <t>Chebyshev SYCTOM</t>
  </si>
  <si>
    <t xml:space="preserve">Poids sec % </t>
  </si>
  <si>
    <t xml:space="preserve">Poids humide % </t>
  </si>
  <si>
    <t>Combustibles</t>
  </si>
  <si>
    <t xml:space="preserve">Incombustibles </t>
  </si>
  <si>
    <t>combustibles</t>
  </si>
  <si>
    <t>incombustibles</t>
  </si>
  <si>
    <t>Erreur absolue</t>
  </si>
  <si>
    <t>Erreur relative</t>
  </si>
  <si>
    <t>banlieue</t>
  </si>
  <si>
    <t>paris</t>
  </si>
  <si>
    <t>écart MODECOM</t>
  </si>
  <si>
    <t>écart MODECOM banlieue</t>
  </si>
  <si>
    <t>Déchets alimentaires (non consommables)</t>
  </si>
  <si>
    <t>câbles électriques</t>
  </si>
  <si>
    <t>Produits diffus spécifiques</t>
  </si>
  <si>
    <t>Déchets d'activités de soins perforants</t>
  </si>
  <si>
    <t>Huiles minérales</t>
  </si>
  <si>
    <t>Cartouche d'impression</t>
  </si>
  <si>
    <t>Bouteille de gaz</t>
  </si>
  <si>
    <t>Médicaments non utilisés</t>
  </si>
  <si>
    <t>Combustibles NC</t>
  </si>
  <si>
    <t>Autres verre</t>
  </si>
  <si>
    <t>Incombustibles NC</t>
  </si>
  <si>
    <t>Câbles électriques</t>
  </si>
  <si>
    <t xml:space="preserve">Collecte sélective </t>
  </si>
  <si>
    <t>SYCTOM hiver 2015</t>
  </si>
  <si>
    <t>SYCTOM 2014</t>
  </si>
  <si>
    <t>Syctom H15</t>
  </si>
  <si>
    <t>écart paris banlieue</t>
  </si>
  <si>
    <t>intervalle banlieue</t>
  </si>
  <si>
    <t>intervalle paris</t>
  </si>
  <si>
    <t>Analyses des Déchets Initiaux 
Reconstitués du SYCTOM</t>
  </si>
  <si>
    <t>Fraction 0 à 350 mm</t>
  </si>
  <si>
    <t xml:space="preserve">Analyse </t>
  </si>
  <si>
    <t>Norme</t>
  </si>
  <si>
    <t>Unité</t>
  </si>
  <si>
    <t>ISS_H15
PB PAR</t>
  </si>
  <si>
    <t>ISS_H15 
PB BAN</t>
  </si>
  <si>
    <t>STO_H15 
PB PAR</t>
  </si>
  <si>
    <t>STO_H15 
PB BAN</t>
  </si>
  <si>
    <t>ROM_H15 PB PAR</t>
  </si>
  <si>
    <t>ROM_H15 PB BAN</t>
  </si>
  <si>
    <t>IV13_H15 
PB PAR</t>
  </si>
  <si>
    <t>IV13_H15 
PB BAN</t>
  </si>
  <si>
    <t>Moyenne ISSEANE</t>
  </si>
  <si>
    <t>Moyenne 
St OUEN</t>
  </si>
  <si>
    <t>Moyenne 
ROMAINVILLE</t>
  </si>
  <si>
    <t>Moyenne IVRY 13</t>
  </si>
  <si>
    <t>Moyenne PARIS</t>
  </si>
  <si>
    <t>Moyenne BANLIEUE</t>
  </si>
  <si>
    <t>Ref MODECOM</t>
  </si>
  <si>
    <t>+ 20%</t>
  </si>
  <si>
    <t>- 20%</t>
  </si>
  <si>
    <t>Matière organique</t>
  </si>
  <si>
    <t>Perte au feu 
à 545°C</t>
  </si>
  <si>
    <t>%</t>
  </si>
  <si>
    <t>Azote total</t>
  </si>
  <si>
    <t>NF EN 15 407</t>
  </si>
  <si>
    <t>Phosphore total</t>
  </si>
  <si>
    <t>NF EN 13 650</t>
  </si>
  <si>
    <t>mg/kg sec</t>
  </si>
  <si>
    <t>Potassium</t>
  </si>
  <si>
    <t>Carbone organique</t>
  </si>
  <si>
    <t>EN 13 137</t>
  </si>
  <si>
    <t>Azote organique</t>
  </si>
  <si>
    <t>Calcul</t>
  </si>
  <si>
    <t>Rapport C/N organique</t>
  </si>
  <si>
    <t>-</t>
  </si>
  <si>
    <t>Soufre</t>
  </si>
  <si>
    <t>NF EN 14 582</t>
  </si>
  <si>
    <t>Chlore</t>
  </si>
  <si>
    <t>Fluor</t>
  </si>
  <si>
    <t>Plomb</t>
  </si>
  <si>
    <t>Cuivre</t>
  </si>
  <si>
    <t>Cadmium</t>
  </si>
  <si>
    <t>Chrome</t>
  </si>
  <si>
    <t>Nickel</t>
  </si>
  <si>
    <t>Zinc</t>
  </si>
  <si>
    <t>Mercure total</t>
  </si>
  <si>
    <t>Méthode interne</t>
  </si>
  <si>
    <t>Arsenic</t>
  </si>
  <si>
    <t>Sélenium</t>
  </si>
  <si>
    <t>Humidité totale</t>
  </si>
  <si>
    <t>PCS/sec</t>
  </si>
  <si>
    <t>CEN TS 
15 400</t>
  </si>
  <si>
    <t>cal/g</t>
  </si>
  <si>
    <t>Carbone 
total</t>
  </si>
  <si>
    <t>Hydrogène pour PCI</t>
  </si>
  <si>
    <t>PCI/sec expérimental</t>
  </si>
  <si>
    <t>PCI/brut expérimental</t>
  </si>
  <si>
    <t>PCI/sec calculatoire</t>
  </si>
  <si>
    <t>PCI/brut calculatoire</t>
  </si>
  <si>
    <t>Analyses des Déchets Organiques Totaux du SYCTOM</t>
  </si>
  <si>
    <t>ISS_H15
PB BAN</t>
  </si>
  <si>
    <t>ROM_H15 
PB PAR</t>
  </si>
  <si>
    <t>ROM_H15 
PB BAN</t>
  </si>
  <si>
    <t>Moyenne Générale</t>
  </si>
  <si>
    <t>N de NH4</t>
  </si>
  <si>
    <t>Non normalisé</t>
  </si>
  <si>
    <t>N de NO3</t>
  </si>
  <si>
    <t>N de NO2</t>
  </si>
  <si>
    <t>Rapport C/N total</t>
  </si>
  <si>
    <t>&lt;20</t>
  </si>
  <si>
    <t>&lt;0,1</t>
  </si>
  <si>
    <t>&lt;</t>
  </si>
  <si>
    <t>Humidité DOT</t>
  </si>
  <si>
    <t>PCI/sec</t>
  </si>
  <si>
    <t>PCI/brut</t>
  </si>
  <si>
    <t>ISS_E14
PB PAR</t>
  </si>
  <si>
    <t>ISS_E14
PB BAN</t>
  </si>
  <si>
    <t>STO_E14 
PB PAR</t>
  </si>
  <si>
    <t>STO_E14 
PB BAN</t>
  </si>
  <si>
    <t>ROM_E14 
PB PAR</t>
  </si>
  <si>
    <t>ROM_E14 
PB BAN</t>
  </si>
  <si>
    <t>IV13_E14 
PB PAR</t>
  </si>
  <si>
    <t>IV13_E14 
PB BAN</t>
  </si>
  <si>
    <t>Mo sur Brut</t>
  </si>
  <si>
    <t>Somme des NPK</t>
  </si>
  <si>
    <t>Analyses des Déchets Organiques 
Totaux du SYCTOM</t>
  </si>
  <si>
    <t>Campagne : Hiver 2015</t>
  </si>
  <si>
    <t xml:space="preserve">Unité </t>
  </si>
  <si>
    <t>Complexes</t>
  </si>
  <si>
    <t>Incombustibles</t>
  </si>
  <si>
    <t>Déchets spéciaux</t>
  </si>
  <si>
    <t>Fermentescibles</t>
  </si>
  <si>
    <t>Ligneux</t>
  </si>
  <si>
    <t>Non ligneux</t>
  </si>
  <si>
    <t>Fines</t>
  </si>
  <si>
    <t>MODECOM</t>
  </si>
  <si>
    <t>Limite haute</t>
  </si>
  <si>
    <t>Limite basse</t>
  </si>
  <si>
    <t>&gt;</t>
  </si>
  <si>
    <t>C orga</t>
  </si>
  <si>
    <t>Rapport C/N orga</t>
  </si>
  <si>
    <t>&lt;1</t>
  </si>
  <si>
    <t>C</t>
  </si>
  <si>
    <t>H</t>
  </si>
  <si>
    <t>Analyses des CSR du SYCTOM</t>
  </si>
  <si>
    <t>Combustibles/Fines (0 à 350 mm)</t>
  </si>
  <si>
    <t>Carbone total (%)</t>
  </si>
  <si>
    <t>Hydrogène pour PCI (%)</t>
  </si>
  <si>
    <t>PCS/sec (cal/g)</t>
  </si>
  <si>
    <t>PCI/sec (cal/g)</t>
  </si>
  <si>
    <t>ISS_H15 PC PAR</t>
  </si>
  <si>
    <t>ISS_H15 PC BAN</t>
  </si>
  <si>
    <t>STO_H15  PC PAR</t>
  </si>
  <si>
    <t>STO_H15  PC BAN</t>
  </si>
  <si>
    <t>ROM_H15  PC PAR</t>
  </si>
  <si>
    <t>ROM_H15  PC BAN</t>
  </si>
  <si>
    <t>IV13_H15  PC PAR</t>
  </si>
  <si>
    <t>IV13_H15  PC BAN</t>
  </si>
  <si>
    <t>Incombustibles (0 à 350 mm)</t>
  </si>
  <si>
    <t>Toutes fractions (0 à 350 mm)</t>
  </si>
  <si>
    <t>Humidité (%)</t>
  </si>
  <si>
    <t>PCI/brut
(cal/g)</t>
  </si>
  <si>
    <t>Analyse des Déchets Initiaux Reconstitués du SYCTOM : prestation B</t>
  </si>
  <si>
    <t>Analyse du PCI des OM du Syctom : comparaison résultats prestation B et prestation C</t>
  </si>
  <si>
    <t>Fractions 0 à 350 mm</t>
  </si>
  <si>
    <t>ISS H15 PB PAR</t>
  </si>
  <si>
    <t>ISS H15 PAR BAN</t>
  </si>
  <si>
    <t>STO H15 PB PAR</t>
  </si>
  <si>
    <t>STO H15 PB BAN</t>
  </si>
  <si>
    <t>ROM H15 PB PAR</t>
  </si>
  <si>
    <t>ROM H15 PB BAN</t>
  </si>
  <si>
    <t>IV13 H15 PB PAR</t>
  </si>
  <si>
    <t>IV13 H15 PB BAN</t>
  </si>
  <si>
    <t>Moyenne générale</t>
  </si>
  <si>
    <t>Moyenne Paris</t>
  </si>
  <si>
    <t>Moyenne Banlieue</t>
  </si>
  <si>
    <t>Référence ADEME*</t>
  </si>
  <si>
    <t>LI Haute</t>
  </si>
  <si>
    <t>LI Basse</t>
  </si>
  <si>
    <t>Analyse</t>
  </si>
  <si>
    <t>ISS_H15 PAR</t>
  </si>
  <si>
    <t>ISS_H15 BAN</t>
  </si>
  <si>
    <t>STO_H15 PAR</t>
  </si>
  <si>
    <t>STO_H15 BAN</t>
  </si>
  <si>
    <t>ROM_H15 PAR</t>
  </si>
  <si>
    <t>ROM_H15 BAN</t>
  </si>
  <si>
    <t>IV13_H15 PAR</t>
  </si>
  <si>
    <t>IV13_H15 BAN</t>
  </si>
  <si>
    <t>Référence ADEME</t>
  </si>
  <si>
    <t>LI haute</t>
  </si>
  <si>
    <t>Résultats de la "Prestation C"</t>
  </si>
  <si>
    <t>Carbone total</t>
  </si>
  <si>
    <t>AB</t>
  </si>
  <si>
    <t>PCS/sec expérimental</t>
  </si>
  <si>
    <t>Humidité</t>
  </si>
  <si>
    <t>Rappel des Résultats de la "Prestation B"</t>
  </si>
  <si>
    <t>PCS/sec exp. des DIR</t>
  </si>
  <si>
    <t xml:space="preserve">écart PCI/sec exp - PCI/sec cal </t>
  </si>
  <si>
    <t>PCI/brut exp. des DIR</t>
  </si>
  <si>
    <t>écart PCI/brut exp - PCI/brut cal</t>
  </si>
  <si>
    <t>PCI/brut cal. des DIR</t>
  </si>
  <si>
    <t>Comparaison "Prestation B" / "Prestation C"</t>
  </si>
  <si>
    <r>
      <t xml:space="preserve">Ecart Humidité 
</t>
    </r>
    <r>
      <rPr>
        <i/>
        <sz val="8"/>
        <rFont val="Calibri"/>
        <family val="2"/>
        <scheme val="minor"/>
      </rPr>
      <t>(hum C - hum B)/hum B</t>
    </r>
  </si>
  <si>
    <t>Référence MODECOM PCS/sec</t>
  </si>
  <si>
    <r>
      <t xml:space="preserve">Ecart PCS/sec exp.
</t>
    </r>
    <r>
      <rPr>
        <i/>
        <sz val="8"/>
        <rFont val="Calibri"/>
        <family val="2"/>
        <scheme val="minor"/>
      </rPr>
      <t>(valeur C - valeur B)/valeur B</t>
    </r>
  </si>
  <si>
    <t>Référence MODECOM PCI/brut</t>
  </si>
  <si>
    <r>
      <t xml:space="preserve">Ecart PCI/brut exp.
</t>
    </r>
    <r>
      <rPr>
        <i/>
        <sz val="8"/>
        <rFont val="Calibri"/>
        <family val="2"/>
        <scheme val="minor"/>
      </rPr>
      <t>(valeur C - valeur B)/valeur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</si>
</sst>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€_-;\-* #,##0.00\ _€_-;_-* &quot;-&quot;??\ _€_-;_-@_-"/>
    <numFmt numFmtId="164" formatCode="h:mm;@"/>
    <numFmt numFmtId="165" formatCode="0.0%"/>
    <numFmt numFmtId="166" formatCode="0.000%"/>
    <numFmt numFmtId="167" formatCode="#,##0.0"/>
    <numFmt numFmtId="168" formatCode="0.0"/>
    <numFmt numFmtId="169" formatCode="0E+00"/>
    <numFmt numFmtId="170" formatCode="#,##0.0_ ;\-#,##0.0\ "/>
    <numFmt numFmtId="171" formatCode="#,##0_ ;\-#,##0\ "/>
    <numFmt numFmtId="172" formatCode="#,##0.00_ ;\-#,##0.00\ 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9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mbri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theme="9" tint="-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6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rgb="FFC2D69A"/>
      </left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/>
      <diagonal/>
    </border>
    <border>
      <left/>
      <right/>
      <top/>
      <bottom style="medium">
        <color rgb="FFEAF1DD"/>
      </bottom>
      <diagonal/>
    </border>
    <border>
      <left/>
      <right style="thin">
        <color theme="6"/>
      </right>
      <top/>
      <bottom/>
      <diagonal/>
    </border>
    <border>
      <left style="thin">
        <color rgb="FF9BBB59"/>
      </left>
      <right/>
      <top style="thin">
        <color theme="0"/>
      </top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double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double">
        <color theme="6"/>
      </right>
      <top style="thin">
        <color theme="6"/>
      </top>
      <bottom style="thin">
        <color theme="6"/>
      </bottom>
      <diagonal/>
    </border>
    <border>
      <left/>
      <right style="double">
        <color theme="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EAF1DD"/>
      </left>
      <right style="thin">
        <color rgb="FFEAF1DD"/>
      </right>
      <top/>
      <bottom style="thin">
        <color rgb="FFEAF1DD"/>
      </bottom>
      <diagonal/>
    </border>
    <border>
      <left style="medium">
        <color theme="6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medium">
        <color theme="6"/>
      </right>
      <top style="medium">
        <color theme="6"/>
      </top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/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 style="medium">
        <color rgb="FFC2D69A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 style="medium">
        <color rgb="FFEAF1DD"/>
      </bottom>
      <diagonal/>
    </border>
    <border>
      <left style="thin">
        <color rgb="FFEAF1DD"/>
      </left>
      <right style="medium">
        <color theme="6"/>
      </right>
      <top/>
      <bottom style="thin">
        <color rgb="FFEAF1DD"/>
      </bottom>
      <diagonal/>
    </border>
    <border>
      <left style="medium">
        <color theme="6"/>
      </left>
      <right/>
      <top style="medium">
        <color rgb="FFEAF1DD"/>
      </top>
      <bottom style="medium">
        <color theme="6"/>
      </bottom>
      <diagonal/>
    </border>
    <border>
      <left/>
      <right style="thin">
        <color rgb="FFEAF1DD"/>
      </right>
      <top style="medium">
        <color rgb="FFEAF1DD"/>
      </top>
      <bottom style="medium">
        <color theme="6"/>
      </bottom>
      <diagonal/>
    </border>
    <border>
      <left style="thin">
        <color rgb="FFEAF1DD"/>
      </left>
      <right style="thin">
        <color rgb="FFEAF1DD"/>
      </right>
      <top style="thin">
        <color rgb="FFEAF1DD"/>
      </top>
      <bottom style="medium">
        <color theme="6"/>
      </bottom>
      <diagonal/>
    </border>
    <border>
      <left style="thin">
        <color rgb="FFEAF1DD"/>
      </left>
      <right style="medium">
        <color theme="6"/>
      </right>
      <top style="thin">
        <color rgb="FFEAF1DD"/>
      </top>
      <bottom style="medium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28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31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6" fillId="0" borderId="34" applyNumberFormat="0" applyFill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8" fillId="10" borderId="0" applyNumberFormat="0" applyBorder="0" applyAlignment="0" applyProtection="0"/>
    <xf numFmtId="43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29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0" fillId="0" borderId="0"/>
    <xf numFmtId="0" fontId="31" fillId="0" borderId="0"/>
    <xf numFmtId="0" fontId="31" fillId="0" borderId="0"/>
    <xf numFmtId="0" fontId="39" fillId="0" borderId="0"/>
    <xf numFmtId="0" fontId="41" fillId="0" borderId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ill="0" applyBorder="0" applyAlignment="0" applyProtection="0"/>
    <xf numFmtId="9" fontId="39" fillId="0" borderId="0" applyFont="0" applyFill="0" applyBorder="0" applyAlignment="0" applyProtection="0"/>
    <xf numFmtId="0" fontId="42" fillId="11" borderId="0" applyNumberFormat="0" applyBorder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7" applyNumberFormat="0" applyFill="0" applyAlignment="0" applyProtection="0"/>
    <xf numFmtId="0" fontId="47" fillId="0" borderId="38" applyNumberFormat="0" applyFill="0" applyAlignment="0" applyProtection="0"/>
    <xf numFmtId="0" fontId="48" fillId="0" borderId="3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0" fillId="30" borderId="41" applyNumberFormat="0" applyAlignment="0" applyProtection="0"/>
    <xf numFmtId="0" fontId="31" fillId="0" borderId="0"/>
    <xf numFmtId="43" fontId="10" fillId="0" borderId="0" applyFont="0" applyFill="0" applyBorder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1" fillId="0" borderId="0"/>
    <xf numFmtId="0" fontId="1" fillId="0" borderId="0"/>
    <xf numFmtId="0" fontId="52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4" fillId="0" borderId="0"/>
    <xf numFmtId="9" fontId="54" fillId="0" borderId="0" applyFont="0" applyFill="0" applyBorder="0" applyAlignment="0" applyProtection="0"/>
    <xf numFmtId="9" fontId="54" fillId="0" borderId="0" applyFill="0" applyBorder="0" applyAlignment="0" applyProtection="0"/>
    <xf numFmtId="0" fontId="56" fillId="0" borderId="0"/>
    <xf numFmtId="0" fontId="63" fillId="0" borderId="0"/>
  </cellStyleXfs>
  <cellXfs count="606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65" fontId="3" fillId="0" borderId="4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9" fillId="0" borderId="2" xfId="0" applyFont="1" applyBorder="1" applyAlignment="1"/>
    <xf numFmtId="0" fontId="3" fillId="0" borderId="1" xfId="0" applyFont="1" applyBorder="1" applyAlignment="1">
      <alignment wrapText="1"/>
    </xf>
    <xf numFmtId="0" fontId="0" fillId="0" borderId="4" xfId="0" applyBorder="1"/>
    <xf numFmtId="0" fontId="3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/>
    <xf numFmtId="165" fontId="0" fillId="0" borderId="4" xfId="0" applyNumberForma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7" fillId="0" borderId="14" xfId="0" applyFont="1" applyBorder="1"/>
    <xf numFmtId="10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0" xfId="0" applyNumberFormat="1"/>
    <xf numFmtId="9" fontId="0" fillId="0" borderId="0" xfId="0" applyNumberFormat="1"/>
    <xf numFmtId="0" fontId="17" fillId="5" borderId="14" xfId="0" applyFont="1" applyFill="1" applyBorder="1"/>
    <xf numFmtId="10" fontId="0" fillId="5" borderId="14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14" xfId="1" applyNumberFormat="1" applyFont="1" applyFill="1" applyBorder="1" applyAlignment="1">
      <alignment horizontal="center"/>
    </xf>
    <xf numFmtId="9" fontId="0" fillId="5" borderId="14" xfId="1" applyFont="1" applyFill="1" applyBorder="1" applyAlignment="1">
      <alignment horizontal="center"/>
    </xf>
    <xf numFmtId="165" fontId="0" fillId="5" borderId="15" xfId="1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165" fontId="0" fillId="0" borderId="13" xfId="0" applyNumberFormat="1" applyBorder="1" applyAlignment="1">
      <alignment horizontal="center"/>
    </xf>
    <xf numFmtId="9" fontId="0" fillId="0" borderId="0" xfId="1" applyFont="1"/>
    <xf numFmtId="0" fontId="18" fillId="0" borderId="0" xfId="0" applyFont="1"/>
    <xf numFmtId="0" fontId="18" fillId="0" borderId="15" xfId="0" applyFont="1" applyBorder="1"/>
    <xf numFmtId="165" fontId="18" fillId="0" borderId="16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0" fontId="18" fillId="5" borderId="15" xfId="0" applyFont="1" applyFill="1" applyBorder="1"/>
    <xf numFmtId="165" fontId="18" fillId="5" borderId="16" xfId="0" applyNumberFormat="1" applyFont="1" applyFill="1" applyBorder="1" applyAlignment="1">
      <alignment horizontal="center"/>
    </xf>
    <xf numFmtId="165" fontId="18" fillId="5" borderId="17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165" fontId="21" fillId="0" borderId="14" xfId="1" applyNumberFormat="1" applyFont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7" fillId="0" borderId="16" xfId="1" applyNumberFormat="1" applyFont="1" applyBorder="1" applyAlignment="1">
      <alignment horizontal="center" vertical="center"/>
    </xf>
    <xf numFmtId="165" fontId="17" fillId="8" borderId="14" xfId="1" applyNumberFormat="1" applyFont="1" applyFill="1" applyBorder="1" applyAlignment="1">
      <alignment horizontal="center" vertical="center"/>
    </xf>
    <xf numFmtId="165" fontId="17" fillId="0" borderId="14" xfId="1" applyNumberFormat="1" applyFont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165" fontId="17" fillId="0" borderId="14" xfId="0" applyNumberFormat="1" applyFont="1" applyBorder="1" applyAlignment="1">
      <alignment horizontal="center" vertical="center"/>
    </xf>
    <xf numFmtId="165" fontId="21" fillId="0" borderId="14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10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10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Border="1" applyAlignment="1">
      <alignment wrapText="1"/>
    </xf>
    <xf numFmtId="0" fontId="17" fillId="8" borderId="19" xfId="0" applyFont="1" applyFill="1" applyBorder="1" applyAlignment="1">
      <alignment vertical="center"/>
    </xf>
    <xf numFmtId="0" fontId="17" fillId="0" borderId="19" xfId="0" applyFont="1" applyBorder="1" applyAlignment="1">
      <alignment vertical="center"/>
    </xf>
    <xf numFmtId="165" fontId="0" fillId="0" borderId="16" xfId="0" applyNumberFormat="1" applyFont="1" applyBorder="1" applyAlignment="1">
      <alignment horizontal="center" vertical="center"/>
    </xf>
    <xf numFmtId="9" fontId="18" fillId="0" borderId="29" xfId="1" applyFont="1" applyBorder="1" applyAlignment="1">
      <alignment horizontal="center"/>
    </xf>
    <xf numFmtId="9" fontId="18" fillId="5" borderId="29" xfId="1" applyFont="1" applyFill="1" applyBorder="1" applyAlignment="1">
      <alignment horizontal="center"/>
    </xf>
    <xf numFmtId="165" fontId="18" fillId="0" borderId="30" xfId="1" applyNumberFormat="1" applyFont="1" applyBorder="1" applyAlignment="1">
      <alignment horizontal="center"/>
    </xf>
    <xf numFmtId="165" fontId="18" fillId="5" borderId="30" xfId="1" applyNumberFormat="1" applyFont="1" applyFill="1" applyBorder="1" applyAlignment="1">
      <alignment horizontal="center"/>
    </xf>
    <xf numFmtId="9" fontId="18" fillId="0" borderId="30" xfId="1" applyFont="1" applyBorder="1" applyAlignment="1">
      <alignment horizontal="center"/>
    </xf>
    <xf numFmtId="165" fontId="18" fillId="5" borderId="3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14" xfId="0" applyFill="1" applyBorder="1"/>
    <xf numFmtId="0" fontId="13" fillId="7" borderId="14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9" fillId="5" borderId="14" xfId="0" applyFont="1" applyFill="1" applyBorder="1" applyAlignment="1"/>
    <xf numFmtId="0" fontId="3" fillId="5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165" fontId="14" fillId="3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4" borderId="15" xfId="0" applyFill="1" applyBorder="1" applyAlignment="1"/>
    <xf numFmtId="0" fontId="0" fillId="4" borderId="15" xfId="0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6" fillId="4" borderId="15" xfId="0" applyFont="1" applyFill="1" applyBorder="1" applyAlignment="1">
      <alignment vertical="center"/>
    </xf>
    <xf numFmtId="2" fontId="2" fillId="4" borderId="1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0" fillId="0" borderId="14" xfId="1" applyNumberFormat="1" applyFont="1" applyBorder="1"/>
    <xf numFmtId="165" fontId="0" fillId="5" borderId="14" xfId="1" applyNumberFormat="1" applyFont="1" applyFill="1" applyBorder="1"/>
    <xf numFmtId="0" fontId="21" fillId="4" borderId="14" xfId="0" applyFont="1" applyFill="1" applyBorder="1" applyAlignment="1">
      <alignment horizontal="center" vertical="center" wrapText="1"/>
    </xf>
    <xf numFmtId="9" fontId="17" fillId="0" borderId="14" xfId="1" applyFont="1" applyBorder="1" applyAlignment="1">
      <alignment horizontal="center" vertical="center"/>
    </xf>
    <xf numFmtId="9" fontId="17" fillId="5" borderId="14" xfId="1" applyFont="1" applyFill="1" applyBorder="1" applyAlignment="1">
      <alignment horizontal="center" vertical="center"/>
    </xf>
    <xf numFmtId="165" fontId="17" fillId="5" borderId="14" xfId="0" applyNumberFormat="1" applyFont="1" applyFill="1" applyBorder="1" applyAlignment="1">
      <alignment horizontal="center" vertical="center"/>
    </xf>
    <xf numFmtId="9" fontId="21" fillId="5" borderId="14" xfId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center" vertical="center" wrapText="1"/>
    </xf>
    <xf numFmtId="9" fontId="17" fillId="0" borderId="14" xfId="0" applyNumberFormat="1" applyFont="1" applyBorder="1" applyAlignment="1">
      <alignment horizontal="center" vertical="center"/>
    </xf>
    <xf numFmtId="9" fontId="17" fillId="5" borderId="14" xfId="0" applyNumberFormat="1" applyFont="1" applyFill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5" fontId="17" fillId="5" borderId="19" xfId="0" applyNumberFormat="1" applyFont="1" applyFill="1" applyBorder="1" applyAlignment="1">
      <alignment horizontal="center" vertical="center"/>
    </xf>
    <xf numFmtId="165" fontId="17" fillId="0" borderId="45" xfId="0" applyNumberFormat="1" applyFont="1" applyBorder="1" applyAlignment="1">
      <alignment horizontal="center" vertical="center"/>
    </xf>
    <xf numFmtId="165" fontId="17" fillId="5" borderId="45" xfId="0" applyNumberFormat="1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9" fontId="18" fillId="0" borderId="17" xfId="1" applyFont="1" applyBorder="1" applyAlignment="1">
      <alignment horizontal="center"/>
    </xf>
    <xf numFmtId="9" fontId="18" fillId="5" borderId="15" xfId="1" applyFont="1" applyFill="1" applyBorder="1" applyAlignment="1">
      <alignment horizontal="center"/>
    </xf>
    <xf numFmtId="9" fontId="18" fillId="0" borderId="15" xfId="1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43" fontId="2" fillId="0" borderId="0" xfId="340" applyFont="1"/>
    <xf numFmtId="0" fontId="2" fillId="31" borderId="14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165" fontId="0" fillId="5" borderId="14" xfId="0" applyNumberFormat="1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5" fontId="23" fillId="31" borderId="24" xfId="0" applyNumberFormat="1" applyFont="1" applyFill="1" applyBorder="1" applyAlignment="1">
      <alignment horizontal="center" vertical="center"/>
    </xf>
    <xf numFmtId="165" fontId="23" fillId="31" borderId="25" xfId="0" applyNumberFormat="1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left" vertical="center" wrapText="1"/>
    </xf>
    <xf numFmtId="165" fontId="0" fillId="8" borderId="14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21" fillId="5" borderId="14" xfId="0" applyFont="1" applyFill="1" applyBorder="1"/>
    <xf numFmtId="0" fontId="21" fillId="5" borderId="14" xfId="0" applyFont="1" applyFill="1" applyBorder="1" applyAlignment="1">
      <alignment horizontal="center" vertical="center"/>
    </xf>
    <xf numFmtId="9" fontId="18" fillId="0" borderId="16" xfId="1" applyFont="1" applyBorder="1" applyAlignment="1">
      <alignment horizontal="center"/>
    </xf>
    <xf numFmtId="9" fontId="18" fillId="5" borderId="14" xfId="1" applyFont="1" applyFill="1" applyBorder="1" applyAlignment="1">
      <alignment horizontal="center"/>
    </xf>
    <xf numFmtId="9" fontId="18" fillId="0" borderId="14" xfId="1" applyFont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9" fontId="1" fillId="0" borderId="0" xfId="1" applyFont="1"/>
    <xf numFmtId="9" fontId="2" fillId="0" borderId="0" xfId="1" applyFont="1"/>
    <xf numFmtId="165" fontId="53" fillId="0" borderId="14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165" fontId="20" fillId="0" borderId="16" xfId="0" applyNumberFormat="1" applyFont="1" applyBorder="1" applyAlignment="1">
      <alignment horizontal="center"/>
    </xf>
    <xf numFmtId="165" fontId="20" fillId="0" borderId="32" xfId="0" applyNumberFormat="1" applyFont="1" applyBorder="1" applyAlignment="1">
      <alignment horizontal="center"/>
    </xf>
    <xf numFmtId="165" fontId="53" fillId="0" borderId="16" xfId="0" applyNumberFormat="1" applyFont="1" applyBorder="1" applyAlignment="1">
      <alignment horizontal="center"/>
    </xf>
    <xf numFmtId="0" fontId="19" fillId="31" borderId="14" xfId="0" applyFont="1" applyFill="1" applyBorder="1" applyAlignment="1">
      <alignment horizontal="center" vertical="center" wrapText="1"/>
    </xf>
    <xf numFmtId="0" fontId="19" fillId="31" borderId="14" xfId="0" applyFont="1" applyFill="1" applyBorder="1" applyAlignment="1">
      <alignment horizontal="center" vertical="center"/>
    </xf>
    <xf numFmtId="165" fontId="53" fillId="5" borderId="14" xfId="0" applyNumberFormat="1" applyFont="1" applyFill="1" applyBorder="1" applyAlignment="1">
      <alignment horizontal="center"/>
    </xf>
    <xf numFmtId="165" fontId="20" fillId="5" borderId="32" xfId="0" applyNumberFormat="1" applyFont="1" applyFill="1" applyBorder="1" applyAlignment="1">
      <alignment horizontal="center"/>
    </xf>
    <xf numFmtId="165" fontId="20" fillId="5" borderId="16" xfId="0" applyNumberFormat="1" applyFont="1" applyFill="1" applyBorder="1" applyAlignment="1">
      <alignment horizontal="center"/>
    </xf>
    <xf numFmtId="0" fontId="9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 vertical="center"/>
    </xf>
    <xf numFmtId="165" fontId="0" fillId="5" borderId="0" xfId="1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5" borderId="19" xfId="0" applyNumberFormat="1" applyFont="1" applyFill="1" applyBorder="1" applyAlignment="1">
      <alignment horizontal="center" vertical="center"/>
    </xf>
    <xf numFmtId="165" fontId="17" fillId="0" borderId="4" xfId="0" applyNumberFormat="1" applyFont="1" applyBorder="1"/>
    <xf numFmtId="165" fontId="55" fillId="5" borderId="16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left" vertical="center" wrapText="1"/>
    </xf>
    <xf numFmtId="165" fontId="0" fillId="0" borderId="23" xfId="0" applyNumberFormat="1" applyFill="1" applyBorder="1" applyAlignment="1">
      <alignment horizontal="center" vertical="center"/>
    </xf>
    <xf numFmtId="165" fontId="23" fillId="31" borderId="52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165" fontId="0" fillId="8" borderId="14" xfId="0" applyNumberForma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vertical="center"/>
    </xf>
    <xf numFmtId="0" fontId="21" fillId="5" borderId="19" xfId="0" applyFont="1" applyFill="1" applyBorder="1" applyAlignment="1">
      <alignment horizontal="center" vertical="center"/>
    </xf>
    <xf numFmtId="165" fontId="17" fillId="0" borderId="18" xfId="1" applyNumberFormat="1" applyFont="1" applyBorder="1" applyAlignment="1">
      <alignment horizontal="center" vertical="center"/>
    </xf>
    <xf numFmtId="165" fontId="17" fillId="0" borderId="19" xfId="1" applyNumberFormat="1" applyFont="1" applyBorder="1" applyAlignment="1">
      <alignment horizontal="center" vertical="center"/>
    </xf>
    <xf numFmtId="165" fontId="17" fillId="8" borderId="19" xfId="1" applyNumberFormat="1" applyFont="1" applyFill="1" applyBorder="1" applyAlignment="1">
      <alignment horizontal="center" vertical="center"/>
    </xf>
    <xf numFmtId="165" fontId="21" fillId="0" borderId="19" xfId="1" applyNumberFormat="1" applyFont="1" applyBorder="1" applyAlignment="1">
      <alignment horizontal="center" vertical="center"/>
    </xf>
    <xf numFmtId="0" fontId="17" fillId="8" borderId="14" xfId="0" applyFont="1" applyFill="1" applyBorder="1"/>
    <xf numFmtId="165" fontId="17" fillId="8" borderId="18" xfId="1" applyNumberFormat="1" applyFont="1" applyFill="1" applyBorder="1" applyAlignment="1">
      <alignment horizontal="center" vertical="center"/>
    </xf>
    <xf numFmtId="165" fontId="17" fillId="8" borderId="16" xfId="1" applyNumberFormat="1" applyFont="1" applyFill="1" applyBorder="1" applyAlignment="1">
      <alignment horizontal="center" vertical="center"/>
    </xf>
    <xf numFmtId="0" fontId="21" fillId="5" borderId="0" xfId="0" applyFont="1" applyFill="1" applyAlignment="1"/>
    <xf numFmtId="165" fontId="0" fillId="35" borderId="4" xfId="0" applyNumberFormat="1" applyFill="1" applyBorder="1" applyAlignment="1">
      <alignment horizontal="center" vertical="center"/>
    </xf>
    <xf numFmtId="0" fontId="13" fillId="32" borderId="14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9" fillId="31" borderId="14" xfId="0" applyFont="1" applyFill="1" applyBorder="1" applyAlignment="1">
      <alignment horizontal="left" vertical="center"/>
    </xf>
    <xf numFmtId="0" fontId="0" fillId="31" borderId="14" xfId="0" applyFill="1" applyBorder="1"/>
    <xf numFmtId="0" fontId="2" fillId="31" borderId="14" xfId="0" applyFont="1" applyFill="1" applyBorder="1"/>
    <xf numFmtId="0" fontId="14" fillId="5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3" fillId="32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9" fontId="3" fillId="0" borderId="4" xfId="0" applyNumberFormat="1" applyFont="1" applyBorder="1"/>
    <xf numFmtId="0" fontId="27" fillId="32" borderId="53" xfId="0" applyFont="1" applyFill="1" applyBorder="1" applyAlignment="1">
      <alignment horizontal="center" vertical="center" wrapText="1"/>
    </xf>
    <xf numFmtId="0" fontId="27" fillId="32" borderId="54" xfId="0" applyFont="1" applyFill="1" applyBorder="1" applyAlignment="1">
      <alignment horizontal="center" vertical="center" wrapText="1"/>
    </xf>
    <xf numFmtId="0" fontId="2" fillId="31" borderId="54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center" vertical="center"/>
    </xf>
    <xf numFmtId="165" fontId="0" fillId="0" borderId="57" xfId="0" applyNumberFormat="1" applyFont="1" applyBorder="1" applyAlignment="1">
      <alignment horizontal="center" vertical="center"/>
    </xf>
    <xf numFmtId="165" fontId="0" fillId="8" borderId="59" xfId="0" applyNumberFormat="1" applyFont="1" applyFill="1" applyBorder="1" applyAlignment="1">
      <alignment horizontal="center" vertical="center"/>
    </xf>
    <xf numFmtId="165" fontId="0" fillId="0" borderId="59" xfId="0" applyNumberFormat="1" applyFont="1" applyBorder="1" applyAlignment="1">
      <alignment horizontal="center" vertical="center"/>
    </xf>
    <xf numFmtId="165" fontId="17" fillId="8" borderId="59" xfId="1" applyNumberFormat="1" applyFont="1" applyFill="1" applyBorder="1" applyAlignment="1">
      <alignment horizontal="center" vertical="center"/>
    </xf>
    <xf numFmtId="165" fontId="17" fillId="0" borderId="59" xfId="1" applyNumberFormat="1" applyFont="1" applyBorder="1" applyAlignment="1">
      <alignment horizontal="center" vertical="center"/>
    </xf>
    <xf numFmtId="165" fontId="0" fillId="0" borderId="59" xfId="0" applyNumberFormat="1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165" fontId="0" fillId="0" borderId="59" xfId="0" applyNumberFormat="1" applyBorder="1" applyAlignment="1">
      <alignment horizontal="center" vertical="center"/>
    </xf>
    <xf numFmtId="165" fontId="23" fillId="31" borderId="63" xfId="0" applyNumberFormat="1" applyFont="1" applyFill="1" applyBorder="1" applyAlignment="1">
      <alignment horizontal="center" vertical="center"/>
    </xf>
    <xf numFmtId="165" fontId="0" fillId="0" borderId="64" xfId="0" applyNumberFormat="1" applyFill="1" applyBorder="1" applyAlignment="1">
      <alignment horizontal="center" vertical="center"/>
    </xf>
    <xf numFmtId="165" fontId="0" fillId="8" borderId="59" xfId="0" applyNumberFormat="1" applyFill="1" applyBorder="1" applyAlignment="1">
      <alignment horizontal="center" vertical="center"/>
    </xf>
    <xf numFmtId="165" fontId="0" fillId="0" borderId="59" xfId="0" applyNumberFormat="1" applyFill="1" applyBorder="1" applyAlignment="1">
      <alignment horizontal="center" vertical="center"/>
    </xf>
    <xf numFmtId="0" fontId="13" fillId="31" borderId="62" xfId="0" applyFont="1" applyFill="1" applyBorder="1" applyAlignment="1">
      <alignment horizontal="center" vertical="center" wrapText="1"/>
    </xf>
    <xf numFmtId="165" fontId="23" fillId="31" borderId="67" xfId="0" applyNumberFormat="1" applyFont="1" applyFill="1" applyBorder="1" applyAlignment="1">
      <alignment horizontal="center" vertical="center"/>
    </xf>
    <xf numFmtId="165" fontId="2" fillId="31" borderId="70" xfId="0" applyNumberFormat="1" applyFont="1" applyFill="1" applyBorder="1" applyAlignment="1">
      <alignment horizontal="center" vertical="center"/>
    </xf>
    <xf numFmtId="165" fontId="2" fillId="31" borderId="71" xfId="0" applyNumberFormat="1" applyFont="1" applyFill="1" applyBorder="1" applyAlignment="1">
      <alignment horizontal="center" vertical="center"/>
    </xf>
    <xf numFmtId="166" fontId="2" fillId="4" borderId="15" xfId="1" applyNumberFormat="1" applyFont="1" applyFill="1" applyBorder="1" applyAlignment="1">
      <alignment horizontal="center"/>
    </xf>
    <xf numFmtId="166" fontId="2" fillId="4" borderId="15" xfId="0" applyNumberFormat="1" applyFont="1" applyFill="1" applyBorder="1" applyAlignment="1">
      <alignment horizontal="center"/>
    </xf>
    <xf numFmtId="166" fontId="2" fillId="4" borderId="15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0" fillId="36" borderId="0" xfId="1" applyNumberFormat="1" applyFont="1" applyFill="1"/>
    <xf numFmtId="165" fontId="3" fillId="36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5" fontId="57" fillId="0" borderId="4" xfId="1" applyNumberFormat="1" applyFont="1" applyBorder="1"/>
    <xf numFmtId="9" fontId="3" fillId="0" borderId="5" xfId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66" fontId="57" fillId="0" borderId="4" xfId="1" applyNumberFormat="1" applyFont="1" applyBorder="1"/>
    <xf numFmtId="9" fontId="57" fillId="0" borderId="4" xfId="1" applyFont="1" applyBorder="1"/>
    <xf numFmtId="10" fontId="8" fillId="0" borderId="0" xfId="0" applyNumberFormat="1" applyFont="1" applyAlignment="1">
      <alignment horizontal="center"/>
    </xf>
    <xf numFmtId="10" fontId="3" fillId="0" borderId="4" xfId="0" applyNumberFormat="1" applyFont="1" applyBorder="1"/>
    <xf numFmtId="165" fontId="3" fillId="0" borderId="4" xfId="1" applyNumberFormat="1" applyFont="1" applyBorder="1"/>
    <xf numFmtId="0" fontId="4" fillId="0" borderId="0" xfId="0" applyFont="1" applyAlignment="1"/>
    <xf numFmtId="0" fontId="6" fillId="0" borderId="0" xfId="0" applyFont="1" applyAlignment="1"/>
    <xf numFmtId="0" fontId="7" fillId="2" borderId="0" xfId="0" applyFont="1" applyFill="1" applyAlignment="1">
      <alignment vertical="center"/>
    </xf>
    <xf numFmtId="0" fontId="11" fillId="0" borderId="3" xfId="0" applyFont="1" applyBorder="1" applyAlignment="1">
      <alignment vertical="center" wrapText="1"/>
    </xf>
    <xf numFmtId="0" fontId="12" fillId="0" borderId="7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165" fontId="58" fillId="5" borderId="14" xfId="0" applyNumberFormat="1" applyFont="1" applyFill="1" applyBorder="1" applyAlignment="1">
      <alignment horizontal="center"/>
    </xf>
    <xf numFmtId="165" fontId="59" fillId="5" borderId="16" xfId="0" applyNumberFormat="1" applyFont="1" applyFill="1" applyBorder="1" applyAlignment="1">
      <alignment horizontal="center"/>
    </xf>
    <xf numFmtId="165" fontId="59" fillId="5" borderId="32" xfId="0" applyNumberFormat="1" applyFont="1" applyFill="1" applyBorder="1" applyAlignment="1">
      <alignment horizontal="center"/>
    </xf>
    <xf numFmtId="165" fontId="0" fillId="35" borderId="0" xfId="0" applyNumberFormat="1" applyFill="1"/>
    <xf numFmtId="165" fontId="0" fillId="4" borderId="0" xfId="0" applyNumberFormat="1" applyFill="1"/>
    <xf numFmtId="10" fontId="3" fillId="5" borderId="14" xfId="0" applyNumberFormat="1" applyFont="1" applyFill="1" applyBorder="1" applyAlignment="1">
      <alignment horizontal="center" vertical="center"/>
    </xf>
    <xf numFmtId="0" fontId="53" fillId="0" borderId="0" xfId="1286" applyFont="1" applyAlignment="1">
      <alignment horizontal="center" vertical="center" wrapText="1"/>
    </xf>
    <xf numFmtId="0" fontId="53" fillId="0" borderId="0" xfId="1286" applyFont="1"/>
    <xf numFmtId="0" fontId="62" fillId="0" borderId="0" xfId="1286" applyFont="1"/>
    <xf numFmtId="0" fontId="60" fillId="0" borderId="0" xfId="1286" applyFont="1" applyAlignment="1">
      <alignment horizontal="center" vertical="center"/>
    </xf>
    <xf numFmtId="0" fontId="26" fillId="0" borderId="0" xfId="1286" applyFont="1" applyBorder="1" applyAlignment="1">
      <alignment vertical="center" wrapText="1"/>
    </xf>
    <xf numFmtId="0" fontId="26" fillId="31" borderId="4" xfId="1286" applyFont="1" applyFill="1" applyBorder="1" applyAlignment="1">
      <alignment horizontal="center" vertical="center" wrapText="1"/>
    </xf>
    <xf numFmtId="0" fontId="26" fillId="5" borderId="4" xfId="1286" applyFont="1" applyFill="1" applyBorder="1" applyAlignment="1">
      <alignment horizontal="center" vertical="center" wrapText="1"/>
    </xf>
    <xf numFmtId="0" fontId="26" fillId="8" borderId="1" xfId="1286" applyFont="1" applyFill="1" applyBorder="1" applyAlignment="1">
      <alignment horizontal="center" vertical="center" wrapText="1"/>
    </xf>
    <xf numFmtId="3" fontId="26" fillId="31" borderId="4" xfId="1286" applyNumberFormat="1" applyFont="1" applyFill="1" applyBorder="1" applyAlignment="1">
      <alignment horizontal="center" vertical="center" wrapText="1"/>
    </xf>
    <xf numFmtId="3" fontId="26" fillId="39" borderId="4" xfId="1286" applyNumberFormat="1" applyFont="1" applyFill="1" applyBorder="1" applyAlignment="1">
      <alignment horizontal="center" vertical="center" wrapText="1"/>
    </xf>
    <xf numFmtId="9" fontId="60" fillId="0" borderId="0" xfId="1286" applyNumberFormat="1" applyFont="1" applyAlignment="1">
      <alignment horizontal="center" vertical="center"/>
    </xf>
    <xf numFmtId="9" fontId="60" fillId="0" borderId="0" xfId="1286" quotePrefix="1" applyNumberFormat="1" applyFont="1" applyAlignment="1">
      <alignment horizontal="center" vertical="center"/>
    </xf>
    <xf numFmtId="0" fontId="60" fillId="0" borderId="0" xfId="1286" quotePrefix="1" applyFont="1" applyAlignment="1">
      <alignment horizontal="center" vertical="center"/>
    </xf>
    <xf numFmtId="0" fontId="53" fillId="31" borderId="4" xfId="1286" applyFont="1" applyFill="1" applyBorder="1" applyAlignment="1">
      <alignment horizontal="center" vertical="center" wrapText="1"/>
    </xf>
    <xf numFmtId="0" fontId="53" fillId="5" borderId="4" xfId="1286" applyFont="1" applyFill="1" applyBorder="1" applyAlignment="1">
      <alignment horizontal="center" vertical="center" wrapText="1"/>
    </xf>
    <xf numFmtId="0" fontId="53" fillId="8" borderId="4" xfId="1286" applyFont="1" applyFill="1" applyBorder="1" applyAlignment="1">
      <alignment horizontal="center" vertical="center" wrapText="1"/>
    </xf>
    <xf numFmtId="167" fontId="53" fillId="0" borderId="4" xfId="1286" applyNumberFormat="1" applyFont="1" applyBorder="1" applyAlignment="1">
      <alignment horizontal="center" vertical="center" wrapText="1"/>
    </xf>
    <xf numFmtId="168" fontId="60" fillId="0" borderId="0" xfId="1286" applyNumberFormat="1" applyFont="1" applyAlignment="1">
      <alignment horizontal="center" vertical="center"/>
    </xf>
    <xf numFmtId="4" fontId="53" fillId="0" borderId="4" xfId="1286" applyNumberFormat="1" applyFont="1" applyBorder="1" applyAlignment="1">
      <alignment horizontal="center" vertical="center" wrapText="1"/>
    </xf>
    <xf numFmtId="3" fontId="53" fillId="0" borderId="4" xfId="1286" applyNumberFormat="1" applyFont="1" applyBorder="1" applyAlignment="1">
      <alignment horizontal="center" vertical="center" wrapText="1"/>
    </xf>
    <xf numFmtId="0" fontId="53" fillId="8" borderId="4" xfId="1286" quotePrefix="1" applyFont="1" applyFill="1" applyBorder="1" applyAlignment="1">
      <alignment horizontal="center" vertical="center" wrapText="1"/>
    </xf>
    <xf numFmtId="4" fontId="62" fillId="0" borderId="0" xfId="1286" applyNumberFormat="1" applyFont="1"/>
    <xf numFmtId="0" fontId="62" fillId="0" borderId="0" xfId="1286" applyFont="1" applyBorder="1"/>
    <xf numFmtId="0" fontId="60" fillId="0" borderId="0" xfId="1286" applyFont="1" applyBorder="1" applyAlignment="1">
      <alignment horizontal="center" vertical="center"/>
    </xf>
    <xf numFmtId="0" fontId="53" fillId="5" borderId="4" xfId="1286" quotePrefix="1" applyFont="1" applyFill="1" applyBorder="1" applyAlignment="1">
      <alignment horizontal="center" vertical="center" wrapText="1"/>
    </xf>
    <xf numFmtId="167" fontId="62" fillId="0" borderId="0" xfId="1286" applyNumberFormat="1" applyFont="1" applyBorder="1" applyAlignment="1">
      <alignment horizontal="center" vertical="center" wrapText="1"/>
    </xf>
    <xf numFmtId="167" fontId="60" fillId="0" borderId="0" xfId="1286" applyNumberFormat="1" applyFont="1" applyBorder="1" applyAlignment="1">
      <alignment horizontal="center" vertical="center" wrapText="1"/>
    </xf>
    <xf numFmtId="3" fontId="53" fillId="0" borderId="0" xfId="1286" applyNumberFormat="1" applyFont="1" applyAlignment="1">
      <alignment horizontal="center" vertical="center" wrapText="1"/>
    </xf>
    <xf numFmtId="3" fontId="53" fillId="0" borderId="0" xfId="1286" applyNumberFormat="1" applyFont="1" applyAlignment="1">
      <alignment horizontal="center" vertical="center"/>
    </xf>
    <xf numFmtId="0" fontId="3" fillId="0" borderId="0" xfId="1286" applyFont="1" applyAlignment="1">
      <alignment horizontal="center" vertical="center" wrapText="1"/>
    </xf>
    <xf numFmtId="167" fontId="3" fillId="0" borderId="0" xfId="1286" applyNumberFormat="1" applyFont="1"/>
    <xf numFmtId="0" fontId="64" fillId="0" borderId="0" xfId="1286" applyFont="1"/>
    <xf numFmtId="0" fontId="65" fillId="0" borderId="0" xfId="1286" applyFont="1" applyAlignment="1">
      <alignment horizontal="center" vertical="center"/>
    </xf>
    <xf numFmtId="0" fontId="3" fillId="0" borderId="0" xfId="1286" applyFont="1" applyBorder="1" applyAlignment="1">
      <alignment horizontal="center" vertical="center" wrapText="1"/>
    </xf>
    <xf numFmtId="0" fontId="9" fillId="0" borderId="0" xfId="1286" applyFont="1" applyBorder="1" applyAlignment="1">
      <alignment vertical="center" wrapText="1"/>
    </xf>
    <xf numFmtId="0" fontId="9" fillId="31" borderId="4" xfId="1286" applyFont="1" applyFill="1" applyBorder="1" applyAlignment="1">
      <alignment horizontal="center" vertical="center" wrapText="1"/>
    </xf>
    <xf numFmtId="0" fontId="9" fillId="5" borderId="4" xfId="1286" applyFont="1" applyFill="1" applyBorder="1" applyAlignment="1">
      <alignment horizontal="center" vertical="center" wrapText="1"/>
    </xf>
    <xf numFmtId="0" fontId="9" fillId="8" borderId="4" xfId="1286" applyFont="1" applyFill="1" applyBorder="1" applyAlignment="1">
      <alignment horizontal="center" vertical="center" wrapText="1"/>
    </xf>
    <xf numFmtId="3" fontId="9" fillId="31" borderId="4" xfId="1286" applyNumberFormat="1" applyFont="1" applyFill="1" applyBorder="1" applyAlignment="1">
      <alignment horizontal="center" vertical="center" wrapText="1"/>
    </xf>
    <xf numFmtId="167" fontId="9" fillId="39" borderId="4" xfId="1286" applyNumberFormat="1" applyFont="1" applyFill="1" applyBorder="1" applyAlignment="1">
      <alignment horizontal="center" vertical="center" wrapText="1"/>
    </xf>
    <xf numFmtId="0" fontId="3" fillId="31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8" borderId="1" xfId="1286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8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7" fontId="3" fillId="0" borderId="4" xfId="1286" applyNumberFormat="1" applyFont="1" applyBorder="1" applyAlignment="1">
      <alignment horizontal="center" vertical="center"/>
    </xf>
    <xf numFmtId="4" fontId="3" fillId="0" borderId="4" xfId="1286" applyNumberFormat="1" applyFont="1" applyBorder="1" applyAlignment="1">
      <alignment horizontal="center" vertical="center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Border="1" applyAlignment="1">
      <alignment horizontal="center" vertical="center"/>
    </xf>
    <xf numFmtId="169" fontId="3" fillId="0" borderId="4" xfId="1286" applyNumberFormat="1" applyFont="1" applyBorder="1" applyAlignment="1" applyProtection="1">
      <alignment horizontal="center" vertical="center" wrapText="1"/>
      <protection locked="0"/>
    </xf>
    <xf numFmtId="169" fontId="3" fillId="0" borderId="4" xfId="1286" applyNumberFormat="1" applyFont="1" applyBorder="1" applyAlignment="1" applyProtection="1">
      <alignment horizontal="center" vertical="center"/>
      <protection locked="0"/>
    </xf>
    <xf numFmtId="168" fontId="3" fillId="0" borderId="4" xfId="1286" applyNumberFormat="1" applyFont="1" applyBorder="1" applyAlignment="1">
      <alignment horizontal="center" vertical="center"/>
    </xf>
    <xf numFmtId="0" fontId="3" fillId="8" borderId="1" xfId="1286" quotePrefix="1" applyFont="1" applyFill="1" applyBorder="1" applyAlignment="1">
      <alignment horizontal="center" vertical="center" wrapText="1"/>
    </xf>
    <xf numFmtId="167" fontId="3" fillId="40" borderId="4" xfId="1286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1286" applyFont="1" applyFill="1" applyBorder="1" applyAlignment="1">
      <alignment horizontal="center" vertical="center" wrapText="1"/>
    </xf>
    <xf numFmtId="0" fontId="3" fillId="0" borderId="0" xfId="1286" applyFont="1"/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5" borderId="4" xfId="1286" quotePrefix="1" applyFont="1" applyFill="1" applyBorder="1" applyAlignment="1">
      <alignment horizontal="center" vertical="center" wrapText="1"/>
    </xf>
    <xf numFmtId="167" fontId="3" fillId="0" borderId="4" xfId="1286" applyNumberFormat="1" applyFont="1" applyBorder="1" applyAlignment="1" applyProtection="1">
      <alignment horizontal="center" vertical="center"/>
      <protection locked="0"/>
    </xf>
    <xf numFmtId="3" fontId="3" fillId="0" borderId="4" xfId="1286" applyNumberFormat="1" applyFont="1" applyBorder="1" applyAlignment="1">
      <alignment horizontal="center" vertical="center" wrapText="1"/>
    </xf>
    <xf numFmtId="0" fontId="3" fillId="0" borderId="4" xfId="1286" applyFont="1" applyBorder="1" applyAlignment="1">
      <alignment horizontal="center" vertical="center" wrapText="1"/>
    </xf>
    <xf numFmtId="0" fontId="3" fillId="0" borderId="0" xfId="1286" applyFont="1" applyAlignment="1">
      <alignment horizontal="center" vertical="center"/>
    </xf>
    <xf numFmtId="0" fontId="62" fillId="0" borderId="0" xfId="1286" applyFont="1" applyBorder="1" applyAlignment="1">
      <alignment horizontal="center" vertical="center"/>
    </xf>
    <xf numFmtId="0" fontId="53" fillId="8" borderId="1" xfId="1286" applyFont="1" applyFill="1" applyBorder="1" applyAlignment="1">
      <alignment horizontal="center" vertical="center" wrapText="1"/>
    </xf>
    <xf numFmtId="167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8" fontId="62" fillId="0" borderId="0" xfId="1286" applyNumberFormat="1" applyFont="1" applyBorder="1" applyAlignment="1">
      <alignment horizontal="center" vertical="center"/>
    </xf>
    <xf numFmtId="2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0" fontId="53" fillId="8" borderId="1" xfId="1286" quotePrefix="1" applyFont="1" applyFill="1" applyBorder="1" applyAlignment="1">
      <alignment horizontal="center" vertical="center" wrapText="1"/>
    </xf>
    <xf numFmtId="168" fontId="3" fillId="0" borderId="4" xfId="1286" applyNumberFormat="1" applyFont="1" applyFill="1" applyBorder="1" applyAlignment="1" applyProtection="1">
      <alignment horizontal="center" vertical="center"/>
      <protection locked="0"/>
    </xf>
    <xf numFmtId="3" fontId="62" fillId="0" borderId="0" xfId="1286" applyNumberFormat="1" applyFont="1" applyBorder="1" applyAlignment="1">
      <alignment horizontal="center" vertical="center"/>
    </xf>
    <xf numFmtId="0" fontId="66" fillId="0" borderId="4" xfId="2" applyFont="1" applyFill="1" applyBorder="1" applyAlignment="1" applyProtection="1">
      <alignment horizontal="center" vertical="center" wrapText="1"/>
      <protection locked="0"/>
    </xf>
    <xf numFmtId="2" fontId="62" fillId="0" borderId="0" xfId="1286" applyNumberFormat="1" applyFont="1" applyBorder="1" applyAlignment="1">
      <alignment horizontal="center" vertical="center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62" fillId="0" borderId="0" xfId="1286" applyNumberFormat="1" applyFont="1" applyBorder="1" applyAlignment="1">
      <alignment horizontal="center" vertical="center"/>
    </xf>
    <xf numFmtId="0" fontId="53" fillId="5" borderId="3" xfId="1286" applyFont="1" applyFill="1" applyBorder="1" applyAlignment="1">
      <alignment horizontal="center" vertical="center" wrapText="1"/>
    </xf>
    <xf numFmtId="0" fontId="61" fillId="0" borderId="0" xfId="1286" applyFont="1" applyAlignment="1">
      <alignment horizontal="center" vertical="center" wrapText="1"/>
    </xf>
    <xf numFmtId="0" fontId="53" fillId="0" borderId="0" xfId="1286" applyFont="1" applyAlignment="1">
      <alignment horizontal="center" vertical="center"/>
    </xf>
    <xf numFmtId="0" fontId="26" fillId="40" borderId="0" xfId="1286" applyFont="1" applyFill="1" applyBorder="1" applyAlignment="1">
      <alignment vertical="center" wrapText="1"/>
    </xf>
    <xf numFmtId="0" fontId="26" fillId="0" borderId="0" xfId="1286" applyFont="1" applyAlignment="1">
      <alignment horizontal="center" vertical="center" wrapText="1"/>
    </xf>
    <xf numFmtId="0" fontId="26" fillId="40" borderId="0" xfId="1286" applyFont="1" applyFill="1" applyBorder="1" applyAlignment="1">
      <alignment horizontal="center" vertical="center" wrapText="1"/>
    </xf>
    <xf numFmtId="0" fontId="26" fillId="0" borderId="0" xfId="1286" applyFont="1"/>
    <xf numFmtId="167" fontId="53" fillId="0" borderId="4" xfId="1286" applyNumberFormat="1" applyFont="1" applyBorder="1" applyAlignment="1" applyProtection="1">
      <alignment horizontal="center" vertical="center" wrapText="1"/>
      <protection locked="0"/>
    </xf>
    <xf numFmtId="4" fontId="53" fillId="0" borderId="4" xfId="1286" applyNumberFormat="1" applyFont="1" applyBorder="1" applyAlignment="1" applyProtection="1">
      <alignment horizontal="center" vertical="center" wrapText="1"/>
      <protection locked="0"/>
    </xf>
    <xf numFmtId="3" fontId="53" fillId="0" borderId="4" xfId="1286" applyNumberFormat="1" applyFont="1" applyBorder="1" applyAlignment="1" applyProtection="1">
      <alignment horizontal="center" vertical="center" wrapText="1"/>
      <protection locked="0"/>
    </xf>
    <xf numFmtId="168" fontId="53" fillId="40" borderId="0" xfId="1286" applyNumberFormat="1" applyFont="1" applyFill="1" applyBorder="1" applyAlignment="1">
      <alignment horizontal="center" vertical="center" wrapText="1"/>
    </xf>
    <xf numFmtId="3" fontId="53" fillId="40" borderId="0" xfId="1286" applyNumberFormat="1" applyFont="1" applyFill="1" applyBorder="1" applyAlignment="1">
      <alignment horizontal="center" vertical="center" wrapText="1"/>
    </xf>
    <xf numFmtId="165" fontId="53" fillId="0" borderId="0" xfId="114" applyNumberFormat="1" applyFont="1"/>
    <xf numFmtId="168" fontId="53" fillId="0" borderId="4" xfId="1286" applyNumberFormat="1" applyFont="1" applyBorder="1" applyAlignment="1">
      <alignment horizontal="center" vertical="center"/>
    </xf>
    <xf numFmtId="168" fontId="53" fillId="0" borderId="4" xfId="1286" applyNumberFormat="1" applyFont="1" applyBorder="1" applyAlignment="1">
      <alignment horizontal="center" vertical="center" wrapText="1"/>
    </xf>
    <xf numFmtId="0" fontId="53" fillId="40" borderId="0" xfId="1286" applyFont="1" applyFill="1"/>
    <xf numFmtId="1" fontId="53" fillId="0" borderId="0" xfId="1286" applyNumberFormat="1" applyFont="1" applyAlignment="1">
      <alignment horizontal="center" vertical="center" wrapText="1"/>
    </xf>
    <xf numFmtId="0" fontId="64" fillId="0" borderId="0" xfId="1286" applyFont="1" applyAlignment="1">
      <alignment horizontal="center" vertical="center"/>
    </xf>
    <xf numFmtId="0" fontId="3" fillId="0" borderId="0" xfId="1286" applyFont="1" applyAlignment="1">
      <alignment vertical="center"/>
    </xf>
    <xf numFmtId="3" fontId="9" fillId="31" borderId="76" xfId="1286" applyNumberFormat="1" applyFont="1" applyFill="1" applyBorder="1" applyAlignment="1">
      <alignment horizontal="center" vertical="center" wrapText="1"/>
    </xf>
    <xf numFmtId="3" fontId="9" fillId="31" borderId="77" xfId="1286" applyNumberFormat="1" applyFont="1" applyFill="1" applyBorder="1" applyAlignment="1">
      <alignment horizontal="center" vertical="center" wrapText="1"/>
    </xf>
    <xf numFmtId="3" fontId="9" fillId="31" borderId="78" xfId="1286" applyNumberFormat="1" applyFont="1" applyFill="1" applyBorder="1" applyAlignment="1">
      <alignment horizontal="center" vertical="center" wrapText="1"/>
    </xf>
    <xf numFmtId="0" fontId="67" fillId="41" borderId="77" xfId="1286" applyFont="1" applyFill="1" applyBorder="1" applyAlignment="1">
      <alignment horizontal="center" vertical="center" wrapText="1"/>
    </xf>
    <xf numFmtId="0" fontId="67" fillId="42" borderId="77" xfId="1286" applyFont="1" applyFill="1" applyBorder="1" applyAlignment="1">
      <alignment horizontal="center" vertical="center" wrapText="1"/>
    </xf>
    <xf numFmtId="0" fontId="67" fillId="43" borderId="77" xfId="1286" applyFont="1" applyFill="1" applyBorder="1" applyAlignment="1">
      <alignment horizontal="center" vertical="center" wrapText="1"/>
    </xf>
    <xf numFmtId="0" fontId="68" fillId="2" borderId="79" xfId="1286" applyFont="1" applyFill="1" applyBorder="1" applyAlignment="1">
      <alignment horizontal="center" vertical="center" wrapText="1"/>
    </xf>
    <xf numFmtId="0" fontId="3" fillId="0" borderId="80" xfId="1286" applyFont="1" applyBorder="1" applyAlignment="1">
      <alignment vertical="center"/>
    </xf>
    <xf numFmtId="3" fontId="9" fillId="31" borderId="81" xfId="1286" applyNumberFormat="1" applyFont="1" applyFill="1" applyBorder="1" applyAlignment="1">
      <alignment horizontal="center" vertical="center" wrapText="1"/>
    </xf>
    <xf numFmtId="3" fontId="9" fillId="31" borderId="82" xfId="1286" applyNumberFormat="1" applyFont="1" applyFill="1" applyBorder="1" applyAlignment="1">
      <alignment horizontal="center" vertical="center" wrapText="1"/>
    </xf>
    <xf numFmtId="3" fontId="9" fillId="31" borderId="83" xfId="1286" applyNumberFormat="1" applyFont="1" applyFill="1" applyBorder="1" applyAlignment="1">
      <alignment horizontal="center" vertical="center" wrapText="1"/>
    </xf>
    <xf numFmtId="0" fontId="67" fillId="41" borderId="81" xfId="1286" applyFont="1" applyFill="1" applyBorder="1" applyAlignment="1">
      <alignment horizontal="center" vertical="center" wrapText="1"/>
    </xf>
    <xf numFmtId="0" fontId="67" fillId="42" borderId="82" xfId="1286" applyFont="1" applyFill="1" applyBorder="1" applyAlignment="1">
      <alignment horizontal="center" vertical="center" wrapText="1"/>
    </xf>
    <xf numFmtId="0" fontId="67" fillId="43" borderId="82" xfId="1286" applyFont="1" applyFill="1" applyBorder="1" applyAlignment="1">
      <alignment horizontal="center" vertical="center" wrapText="1"/>
    </xf>
    <xf numFmtId="0" fontId="67" fillId="2" borderId="84" xfId="1286" applyFont="1" applyFill="1" applyBorder="1" applyAlignment="1">
      <alignment horizontal="center" vertical="center" wrapText="1"/>
    </xf>
    <xf numFmtId="0" fontId="3" fillId="44" borderId="85" xfId="1286" applyFont="1" applyFill="1" applyBorder="1" applyAlignment="1">
      <alignment horizontal="center" vertical="center" wrapText="1"/>
    </xf>
    <xf numFmtId="0" fontId="3" fillId="44" borderId="86" xfId="1286" applyFont="1" applyFill="1" applyBorder="1" applyAlignment="1">
      <alignment horizontal="center" vertical="center" wrapText="1"/>
    </xf>
    <xf numFmtId="170" fontId="3" fillId="0" borderId="87" xfId="175" applyNumberFormat="1" applyFont="1" applyBorder="1" applyAlignment="1">
      <alignment horizontal="center" vertical="center" wrapText="1"/>
    </xf>
    <xf numFmtId="170" fontId="69" fillId="41" borderId="87" xfId="175" applyNumberFormat="1" applyFont="1" applyFill="1" applyBorder="1" applyAlignment="1">
      <alignment horizontal="center" vertical="center" wrapText="1"/>
    </xf>
    <xf numFmtId="170" fontId="69" fillId="42" borderId="87" xfId="175" applyNumberFormat="1" applyFont="1" applyFill="1" applyBorder="1" applyAlignment="1">
      <alignment horizontal="center" vertical="center" wrapText="1"/>
    </xf>
    <xf numFmtId="170" fontId="69" fillId="43" borderId="87" xfId="175" applyNumberFormat="1" applyFont="1" applyFill="1" applyBorder="1" applyAlignment="1">
      <alignment horizontal="center" vertical="center" wrapText="1"/>
    </xf>
    <xf numFmtId="170" fontId="67" fillId="2" borderId="88" xfId="175" applyNumberFormat="1" applyFont="1" applyFill="1" applyBorder="1" applyAlignment="1">
      <alignment horizontal="center" vertical="center" wrapText="1"/>
    </xf>
    <xf numFmtId="168" fontId="64" fillId="0" borderId="0" xfId="1286" applyNumberFormat="1" applyFont="1" applyAlignment="1">
      <alignment horizontal="center" vertical="center"/>
    </xf>
    <xf numFmtId="0" fontId="3" fillId="0" borderId="89" xfId="1286" applyFont="1" applyFill="1" applyBorder="1" applyAlignment="1">
      <alignment horizontal="center" vertical="center" wrapText="1"/>
    </xf>
    <xf numFmtId="0" fontId="3" fillId="0" borderId="90" xfId="1286" applyFont="1" applyFill="1" applyBorder="1" applyAlignment="1">
      <alignment horizontal="center" vertical="center" wrapText="1"/>
    </xf>
    <xf numFmtId="168" fontId="3" fillId="40" borderId="91" xfId="175" applyNumberFormat="1" applyFont="1" applyFill="1" applyBorder="1" applyAlignment="1">
      <alignment horizontal="center" vertical="center" wrapText="1"/>
    </xf>
    <xf numFmtId="168" fontId="3" fillId="40" borderId="92" xfId="175" applyNumberFormat="1" applyFont="1" applyFill="1" applyBorder="1" applyAlignment="1">
      <alignment horizontal="center" vertical="center" wrapText="1"/>
    </xf>
    <xf numFmtId="168" fontId="3" fillId="40" borderId="93" xfId="175" applyNumberFormat="1" applyFont="1" applyFill="1" applyBorder="1" applyAlignment="1">
      <alignment horizontal="center" vertical="center" wrapText="1"/>
    </xf>
    <xf numFmtId="168" fontId="70" fillId="41" borderId="91" xfId="1286" applyNumberFormat="1" applyFont="1" applyFill="1" applyBorder="1" applyAlignment="1">
      <alignment horizontal="center" vertical="center" wrapText="1"/>
    </xf>
    <xf numFmtId="168" fontId="70" fillId="46" borderId="92" xfId="1286" applyNumberFormat="1" applyFont="1" applyFill="1" applyBorder="1" applyAlignment="1">
      <alignment horizontal="center" vertical="center" wrapText="1"/>
    </xf>
    <xf numFmtId="168" fontId="70" fillId="47" borderId="92" xfId="1286" applyNumberFormat="1" applyFont="1" applyFill="1" applyBorder="1" applyAlignment="1">
      <alignment horizontal="center" vertical="center" wrapText="1"/>
    </xf>
    <xf numFmtId="168" fontId="70" fillId="2" borderId="93" xfId="1286" applyNumberFormat="1" applyFont="1" applyFill="1" applyBorder="1" applyAlignment="1">
      <alignment horizontal="center" vertical="center" wrapText="1"/>
    </xf>
    <xf numFmtId="0" fontId="9" fillId="44" borderId="94" xfId="1286" applyFont="1" applyFill="1" applyBorder="1" applyAlignment="1">
      <alignment horizontal="center" vertical="center" wrapText="1"/>
    </xf>
    <xf numFmtId="0" fontId="9" fillId="44" borderId="87" xfId="1286" applyFont="1" applyFill="1" applyBorder="1" applyAlignment="1">
      <alignment horizontal="center" vertical="center" wrapText="1"/>
    </xf>
    <xf numFmtId="171" fontId="9" fillId="0" borderId="87" xfId="175" applyNumberFormat="1" applyFont="1" applyBorder="1" applyAlignment="1">
      <alignment horizontal="center" vertical="center" wrapText="1"/>
    </xf>
    <xf numFmtId="171" fontId="69" fillId="41" borderId="87" xfId="175" applyNumberFormat="1" applyFont="1" applyFill="1" applyBorder="1" applyAlignment="1">
      <alignment horizontal="center" vertical="center" wrapText="1"/>
    </xf>
    <xf numFmtId="171" fontId="69" fillId="42" borderId="87" xfId="175" applyNumberFormat="1" applyFont="1" applyFill="1" applyBorder="1" applyAlignment="1">
      <alignment horizontal="center" vertical="center" wrapText="1"/>
    </xf>
    <xf numFmtId="171" fontId="69" fillId="43" borderId="87" xfId="175" applyNumberFormat="1" applyFont="1" applyFill="1" applyBorder="1" applyAlignment="1">
      <alignment horizontal="center" vertical="center" wrapText="1"/>
    </xf>
    <xf numFmtId="171" fontId="67" fillId="2" borderId="95" xfId="175" applyNumberFormat="1" applyFont="1" applyFill="1" applyBorder="1" applyAlignment="1">
      <alignment horizontal="center" vertical="center" wrapText="1"/>
    </xf>
    <xf numFmtId="171" fontId="64" fillId="0" borderId="0" xfId="1286" applyNumberFormat="1" applyFont="1" applyAlignment="1">
      <alignment horizontal="center" vertical="center"/>
    </xf>
    <xf numFmtId="0" fontId="3" fillId="0" borderId="96" xfId="1286" applyFont="1" applyFill="1" applyBorder="1" applyAlignment="1">
      <alignment horizontal="center" vertical="center" wrapText="1"/>
    </xf>
    <xf numFmtId="0" fontId="3" fillId="0" borderId="97" xfId="1286" applyFont="1" applyFill="1" applyBorder="1" applyAlignment="1">
      <alignment horizontal="center" vertical="center" wrapText="1"/>
    </xf>
    <xf numFmtId="2" fontId="3" fillId="40" borderId="94" xfId="175" applyNumberFormat="1" applyFont="1" applyFill="1" applyBorder="1" applyAlignment="1">
      <alignment horizontal="center" vertical="center" wrapText="1"/>
    </xf>
    <xf numFmtId="2" fontId="3" fillId="40" borderId="87" xfId="175" applyNumberFormat="1" applyFont="1" applyFill="1" applyBorder="1" applyAlignment="1">
      <alignment horizontal="center" vertical="center" wrapText="1"/>
    </xf>
    <xf numFmtId="2" fontId="3" fillId="40" borderId="98" xfId="175" applyNumberFormat="1" applyFont="1" applyFill="1" applyBorder="1" applyAlignment="1">
      <alignment horizontal="center" vertical="center" wrapText="1"/>
    </xf>
    <xf numFmtId="2" fontId="70" fillId="41" borderId="94" xfId="1286" applyNumberFormat="1" applyFont="1" applyFill="1" applyBorder="1" applyAlignment="1">
      <alignment horizontal="center" vertical="center" wrapText="1"/>
    </xf>
    <xf numFmtId="2" fontId="70" fillId="46" borderId="87" xfId="1286" applyNumberFormat="1" applyFont="1" applyFill="1" applyBorder="1" applyAlignment="1">
      <alignment horizontal="center" vertical="center" wrapText="1"/>
    </xf>
    <xf numFmtId="2" fontId="70" fillId="47" borderId="87" xfId="1286" applyNumberFormat="1" applyFont="1" applyFill="1" applyBorder="1" applyAlignment="1">
      <alignment horizontal="center" vertical="center" wrapText="1"/>
    </xf>
    <xf numFmtId="2" fontId="70" fillId="2" borderId="98" xfId="1286" applyNumberFormat="1" applyFont="1" applyFill="1" applyBorder="1" applyAlignment="1">
      <alignment horizontal="center" vertical="center" wrapText="1"/>
    </xf>
    <xf numFmtId="2" fontId="64" fillId="0" borderId="0" xfId="1286" applyNumberFormat="1" applyFont="1" applyAlignment="1">
      <alignment horizontal="center" vertical="center"/>
    </xf>
    <xf numFmtId="0" fontId="3" fillId="44" borderId="94" xfId="1286" applyFont="1" applyFill="1" applyBorder="1" applyAlignment="1">
      <alignment horizontal="center" vertical="center" wrapText="1"/>
    </xf>
    <xf numFmtId="0" fontId="3" fillId="44" borderId="87" xfId="1286" applyFont="1" applyFill="1" applyBorder="1" applyAlignment="1">
      <alignment horizontal="center" vertical="center" wrapText="1"/>
    </xf>
    <xf numFmtId="3" fontId="3" fillId="40" borderId="94" xfId="175" applyNumberFormat="1" applyFont="1" applyFill="1" applyBorder="1" applyAlignment="1">
      <alignment horizontal="center" vertical="center" wrapText="1"/>
    </xf>
    <xf numFmtId="3" fontId="3" fillId="40" borderId="87" xfId="175" applyNumberFormat="1" applyFont="1" applyFill="1" applyBorder="1" applyAlignment="1">
      <alignment horizontal="center" vertical="center" wrapText="1"/>
    </xf>
    <xf numFmtId="3" fontId="3" fillId="40" borderId="98" xfId="175" applyNumberFormat="1" applyFont="1" applyFill="1" applyBorder="1" applyAlignment="1">
      <alignment horizontal="center" vertical="center" wrapText="1"/>
    </xf>
    <xf numFmtId="3" fontId="70" fillId="41" borderId="94" xfId="1286" applyNumberFormat="1" applyFont="1" applyFill="1" applyBorder="1" applyAlignment="1">
      <alignment horizontal="center" vertical="center" wrapText="1"/>
    </xf>
    <xf numFmtId="3" fontId="70" fillId="46" borderId="87" xfId="1286" applyNumberFormat="1" applyFont="1" applyFill="1" applyBorder="1" applyAlignment="1">
      <alignment horizontal="center" vertical="center" wrapText="1"/>
    </xf>
    <xf numFmtId="3" fontId="70" fillId="47" borderId="87" xfId="1286" applyNumberFormat="1" applyFont="1" applyFill="1" applyBorder="1" applyAlignment="1">
      <alignment horizontal="center" vertical="center" wrapText="1"/>
    </xf>
    <xf numFmtId="3" fontId="70" fillId="2" borderId="98" xfId="1286" applyNumberFormat="1" applyFont="1" applyFill="1" applyBorder="1" applyAlignment="1">
      <alignment horizontal="center" vertical="center" wrapText="1"/>
    </xf>
    <xf numFmtId="3" fontId="64" fillId="0" borderId="0" xfId="1286" applyNumberFormat="1" applyFont="1" applyAlignment="1">
      <alignment horizontal="center" vertical="center"/>
    </xf>
    <xf numFmtId="1" fontId="64" fillId="0" borderId="0" xfId="1286" applyNumberFormat="1" applyFont="1" applyAlignment="1">
      <alignment horizontal="center" vertical="center"/>
    </xf>
    <xf numFmtId="172" fontId="3" fillId="0" borderId="87" xfId="175" applyNumberFormat="1" applyFont="1" applyBorder="1" applyAlignment="1">
      <alignment horizontal="center" vertical="center" wrapText="1"/>
    </xf>
    <xf numFmtId="172" fontId="69" fillId="41" borderId="87" xfId="175" applyNumberFormat="1" applyFont="1" applyFill="1" applyBorder="1" applyAlignment="1">
      <alignment horizontal="center" vertical="center" wrapText="1"/>
    </xf>
    <xf numFmtId="172" fontId="69" fillId="42" borderId="87" xfId="175" applyNumberFormat="1" applyFont="1" applyFill="1" applyBorder="1" applyAlignment="1">
      <alignment horizontal="center" vertical="center" wrapText="1"/>
    </xf>
    <xf numFmtId="172" fontId="69" fillId="43" borderId="87" xfId="175" applyNumberFormat="1" applyFont="1" applyFill="1" applyBorder="1" applyAlignment="1">
      <alignment horizontal="center" vertical="center" wrapText="1"/>
    </xf>
    <xf numFmtId="172" fontId="67" fillId="2" borderId="95" xfId="175" applyNumberFormat="1" applyFont="1" applyFill="1" applyBorder="1" applyAlignment="1">
      <alignment horizontal="center" vertical="center" wrapText="1"/>
    </xf>
    <xf numFmtId="168" fontId="3" fillId="40" borderId="94" xfId="175" applyNumberFormat="1" applyFont="1" applyFill="1" applyBorder="1" applyAlignment="1">
      <alignment horizontal="center" vertical="center" wrapText="1"/>
    </xf>
    <xf numFmtId="168" fontId="3" fillId="40" borderId="87" xfId="175" applyNumberFormat="1" applyFont="1" applyFill="1" applyBorder="1" applyAlignment="1">
      <alignment horizontal="center" vertical="center" wrapText="1"/>
    </xf>
    <xf numFmtId="168" fontId="3" fillId="40" borderId="98" xfId="175" applyNumberFormat="1" applyFont="1" applyFill="1" applyBorder="1" applyAlignment="1">
      <alignment horizontal="center" vertical="center" wrapText="1"/>
    </xf>
    <xf numFmtId="168" fontId="70" fillId="41" borderId="94" xfId="1286" applyNumberFormat="1" applyFont="1" applyFill="1" applyBorder="1" applyAlignment="1">
      <alignment horizontal="center" vertical="center" wrapText="1"/>
    </xf>
    <xf numFmtId="168" fontId="70" fillId="46" borderId="87" xfId="1286" applyNumberFormat="1" applyFont="1" applyFill="1" applyBorder="1" applyAlignment="1">
      <alignment horizontal="center" vertical="center" wrapText="1"/>
    </xf>
    <xf numFmtId="168" fontId="70" fillId="47" borderId="87" xfId="1286" applyNumberFormat="1" applyFont="1" applyFill="1" applyBorder="1" applyAlignment="1">
      <alignment horizontal="center" vertical="center" wrapText="1"/>
    </xf>
    <xf numFmtId="168" fontId="70" fillId="2" borderId="98" xfId="1286" applyNumberFormat="1" applyFont="1" applyFill="1" applyBorder="1" applyAlignment="1">
      <alignment horizontal="center" vertical="center" wrapText="1"/>
    </xf>
    <xf numFmtId="0" fontId="9" fillId="0" borderId="99" xfId="1286" applyFont="1" applyFill="1" applyBorder="1" applyAlignment="1">
      <alignment horizontal="center" vertical="center" wrapText="1"/>
    </xf>
    <xf numFmtId="0" fontId="9" fillId="0" borderId="100" xfId="1286" applyFont="1" applyFill="1" applyBorder="1" applyAlignment="1">
      <alignment horizontal="center" vertical="center" wrapText="1"/>
    </xf>
    <xf numFmtId="3" fontId="3" fillId="40" borderId="101" xfId="175" applyNumberFormat="1" applyFont="1" applyFill="1" applyBorder="1" applyAlignment="1">
      <alignment horizontal="center" vertical="center" wrapText="1"/>
    </xf>
    <xf numFmtId="3" fontId="3" fillId="40" borderId="102" xfId="175" applyNumberFormat="1" applyFont="1" applyFill="1" applyBorder="1" applyAlignment="1">
      <alignment horizontal="center" vertical="center" wrapText="1"/>
    </xf>
    <xf numFmtId="3" fontId="3" fillId="40" borderId="103" xfId="175" applyNumberFormat="1" applyFont="1" applyFill="1" applyBorder="1" applyAlignment="1">
      <alignment horizontal="center" vertical="center" wrapText="1"/>
    </xf>
    <xf numFmtId="3" fontId="70" fillId="41" borderId="101" xfId="1286" applyNumberFormat="1" applyFont="1" applyFill="1" applyBorder="1" applyAlignment="1">
      <alignment horizontal="center" vertical="center" wrapText="1"/>
    </xf>
    <xf numFmtId="3" fontId="70" fillId="46" borderId="102" xfId="1286" applyNumberFormat="1" applyFont="1" applyFill="1" applyBorder="1" applyAlignment="1">
      <alignment horizontal="center" vertical="center" wrapText="1"/>
    </xf>
    <xf numFmtId="3" fontId="70" fillId="47" borderId="102" xfId="1286" applyNumberFormat="1" applyFont="1" applyFill="1" applyBorder="1" applyAlignment="1">
      <alignment horizontal="center" vertical="center" wrapText="1"/>
    </xf>
    <xf numFmtId="3" fontId="70" fillId="2" borderId="103" xfId="1286" applyNumberFormat="1" applyFont="1" applyFill="1" applyBorder="1" applyAlignment="1">
      <alignment horizontal="center" vertical="center" wrapText="1"/>
    </xf>
    <xf numFmtId="0" fontId="3" fillId="0" borderId="104" xfId="1286" applyFont="1" applyFill="1" applyBorder="1" applyAlignment="1">
      <alignment horizontal="center" vertical="center" wrapText="1"/>
    </xf>
    <xf numFmtId="0" fontId="9" fillId="0" borderId="96" xfId="1286" applyFont="1" applyFill="1" applyBorder="1" applyAlignment="1">
      <alignment horizontal="center" vertical="center" wrapText="1"/>
    </xf>
    <xf numFmtId="0" fontId="9" fillId="0" borderId="105" xfId="1286" applyFont="1" applyFill="1" applyBorder="1" applyAlignment="1">
      <alignment horizontal="center" vertical="center" wrapText="1"/>
    </xf>
    <xf numFmtId="171" fontId="3" fillId="0" borderId="87" xfId="175" applyNumberFormat="1" applyFont="1" applyBorder="1" applyAlignment="1">
      <alignment horizontal="center" vertical="center" wrapText="1"/>
    </xf>
    <xf numFmtId="171" fontId="71" fillId="41" borderId="87" xfId="175" applyNumberFormat="1" applyFont="1" applyFill="1" applyBorder="1" applyAlignment="1">
      <alignment horizontal="center" vertical="center" wrapText="1"/>
    </xf>
    <xf numFmtId="171" fontId="71" fillId="42" borderId="87" xfId="175" applyNumberFormat="1" applyFont="1" applyFill="1" applyBorder="1" applyAlignment="1">
      <alignment horizontal="center" vertical="center" wrapText="1"/>
    </xf>
    <xf numFmtId="171" fontId="71" fillId="43" borderId="87" xfId="175" applyNumberFormat="1" applyFont="1" applyFill="1" applyBorder="1" applyAlignment="1">
      <alignment horizontal="center" vertical="center" wrapText="1"/>
    </xf>
    <xf numFmtId="171" fontId="20" fillId="2" borderId="95" xfId="175" quotePrefix="1" applyNumberFormat="1" applyFont="1" applyFill="1" applyBorder="1" applyAlignment="1">
      <alignment horizontal="center" vertical="center"/>
    </xf>
    <xf numFmtId="0" fontId="3" fillId="44" borderId="101" xfId="1286" applyFont="1" applyFill="1" applyBorder="1" applyAlignment="1">
      <alignment horizontal="center" vertical="center" wrapText="1"/>
    </xf>
    <xf numFmtId="0" fontId="3" fillId="44" borderId="102" xfId="1286" applyFont="1" applyFill="1" applyBorder="1" applyAlignment="1">
      <alignment horizontal="center" vertical="center" wrapText="1"/>
    </xf>
    <xf numFmtId="171" fontId="3" fillId="0" borderId="102" xfId="175" applyNumberFormat="1" applyFont="1" applyBorder="1" applyAlignment="1">
      <alignment horizontal="center" vertical="center" wrapText="1"/>
    </xf>
    <xf numFmtId="171" fontId="71" fillId="41" borderId="102" xfId="175" applyNumberFormat="1" applyFont="1" applyFill="1" applyBorder="1" applyAlignment="1">
      <alignment horizontal="center" vertical="center" wrapText="1"/>
    </xf>
    <xf numFmtId="171" fontId="71" fillId="42" borderId="102" xfId="175" applyNumberFormat="1" applyFont="1" applyFill="1" applyBorder="1" applyAlignment="1">
      <alignment horizontal="center" vertical="center" wrapText="1"/>
    </xf>
    <xf numFmtId="171" fontId="71" fillId="43" borderId="102" xfId="175" applyNumberFormat="1" applyFont="1" applyFill="1" applyBorder="1" applyAlignment="1">
      <alignment horizontal="center" vertical="center" wrapText="1"/>
    </xf>
    <xf numFmtId="171" fontId="20" fillId="2" borderId="106" xfId="175" quotePrefix="1" applyNumberFormat="1" applyFont="1" applyFill="1" applyBorder="1" applyAlignment="1">
      <alignment horizontal="center" vertical="center"/>
    </xf>
    <xf numFmtId="0" fontId="9" fillId="0" borderId="107" xfId="1286" applyFont="1" applyFill="1" applyBorder="1" applyAlignment="1">
      <alignment horizontal="center" vertical="center" wrapText="1"/>
    </xf>
    <xf numFmtId="0" fontId="3" fillId="0" borderId="108" xfId="1286" applyFont="1" applyFill="1" applyBorder="1" applyAlignment="1">
      <alignment horizontal="center" vertical="center" wrapText="1"/>
    </xf>
    <xf numFmtId="165" fontId="3" fillId="0" borderId="91" xfId="114" applyNumberFormat="1" applyFont="1" applyFill="1" applyBorder="1" applyAlignment="1">
      <alignment horizontal="center" vertical="center" wrapText="1"/>
    </xf>
    <xf numFmtId="165" fontId="3" fillId="0" borderId="92" xfId="114" applyNumberFormat="1" applyFont="1" applyFill="1" applyBorder="1" applyAlignment="1">
      <alignment horizontal="center" vertical="center" wrapText="1"/>
    </xf>
    <xf numFmtId="165" fontId="3" fillId="0" borderId="93" xfId="114" applyNumberFormat="1" applyFont="1" applyFill="1" applyBorder="1" applyAlignment="1">
      <alignment horizontal="center" vertical="center" wrapText="1"/>
    </xf>
    <xf numFmtId="165" fontId="70" fillId="41" borderId="85" xfId="114" applyNumberFormat="1" applyFont="1" applyFill="1" applyBorder="1" applyAlignment="1">
      <alignment horizontal="center" vertical="center" wrapText="1"/>
    </xf>
    <xf numFmtId="165" fontId="70" fillId="46" borderId="86" xfId="114" applyNumberFormat="1" applyFont="1" applyFill="1" applyBorder="1" applyAlignment="1">
      <alignment horizontal="center" vertical="center" wrapText="1"/>
    </xf>
    <xf numFmtId="165" fontId="70" fillId="47" borderId="86" xfId="114" applyNumberFormat="1" applyFont="1" applyFill="1" applyBorder="1" applyAlignment="1">
      <alignment horizontal="center" vertical="center" wrapText="1"/>
    </xf>
    <xf numFmtId="165" fontId="70" fillId="2" borderId="109" xfId="114" quotePrefix="1" applyNumberFormat="1" applyFont="1" applyFill="1" applyBorder="1" applyAlignment="1">
      <alignment horizontal="center" vertical="center" wrapText="1"/>
    </xf>
    <xf numFmtId="0" fontId="3" fillId="0" borderId="105" xfId="1286" applyFont="1" applyFill="1" applyBorder="1" applyAlignment="1">
      <alignment horizontal="center" vertical="center" wrapText="1"/>
    </xf>
    <xf numFmtId="165" fontId="3" fillId="0" borderId="94" xfId="114" applyNumberFormat="1" applyFont="1" applyFill="1" applyBorder="1" applyAlignment="1">
      <alignment horizontal="center" vertical="center" wrapText="1"/>
    </xf>
    <xf numFmtId="165" fontId="3" fillId="0" borderId="87" xfId="114" applyNumberFormat="1" applyFont="1" applyFill="1" applyBorder="1" applyAlignment="1">
      <alignment horizontal="center" vertical="center" wrapText="1"/>
    </xf>
    <xf numFmtId="165" fontId="3" fillId="0" borderId="98" xfId="114" applyNumberFormat="1" applyFont="1" applyFill="1" applyBorder="1" applyAlignment="1">
      <alignment horizontal="center" vertical="center" wrapText="1"/>
    </xf>
    <xf numFmtId="165" fontId="70" fillId="41" borderId="94" xfId="114" applyNumberFormat="1" applyFont="1" applyFill="1" applyBorder="1" applyAlignment="1">
      <alignment horizontal="center" vertical="center" wrapText="1"/>
    </xf>
    <xf numFmtId="165" fontId="70" fillId="46" borderId="87" xfId="114" applyNumberFormat="1" applyFont="1" applyFill="1" applyBorder="1" applyAlignment="1">
      <alignment horizontal="center" vertical="center" wrapText="1"/>
    </xf>
    <xf numFmtId="165" fontId="70" fillId="47" borderId="87" xfId="114" applyNumberFormat="1" applyFont="1" applyFill="1" applyBorder="1" applyAlignment="1">
      <alignment horizontal="center" vertical="center" wrapText="1"/>
    </xf>
    <xf numFmtId="165" fontId="70" fillId="2" borderId="98" xfId="114" quotePrefix="1" applyNumberFormat="1" applyFont="1" applyFill="1" applyBorder="1" applyAlignment="1">
      <alignment horizontal="center" vertical="center" wrapText="1"/>
    </xf>
    <xf numFmtId="0" fontId="3" fillId="0" borderId="99" xfId="1286" applyFont="1" applyFill="1" applyBorder="1" applyAlignment="1">
      <alignment horizontal="center" vertical="center" wrapText="1"/>
    </xf>
    <xf numFmtId="0" fontId="3" fillId="0" borderId="107" xfId="1286" applyFont="1" applyFill="1" applyBorder="1" applyAlignment="1">
      <alignment horizontal="center" vertical="center" wrapText="1"/>
    </xf>
    <xf numFmtId="165" fontId="3" fillId="0" borderId="101" xfId="114" applyNumberFormat="1" applyFont="1" applyFill="1" applyBorder="1" applyAlignment="1">
      <alignment horizontal="center" vertical="center" wrapText="1"/>
    </xf>
    <xf numFmtId="165" fontId="3" fillId="0" borderId="102" xfId="114" applyNumberFormat="1" applyFont="1" applyFill="1" applyBorder="1" applyAlignment="1">
      <alignment horizontal="center" vertical="center" wrapText="1"/>
    </xf>
    <xf numFmtId="165" fontId="3" fillId="0" borderId="103" xfId="114" applyNumberFormat="1" applyFont="1" applyFill="1" applyBorder="1" applyAlignment="1">
      <alignment horizontal="center" vertical="center" wrapText="1"/>
    </xf>
    <xf numFmtId="10" fontId="70" fillId="41" borderId="101" xfId="114" applyNumberFormat="1" applyFont="1" applyFill="1" applyBorder="1" applyAlignment="1">
      <alignment horizontal="center" vertical="center" wrapText="1"/>
    </xf>
    <xf numFmtId="165" fontId="70" fillId="46" borderId="102" xfId="114" applyNumberFormat="1" applyFont="1" applyFill="1" applyBorder="1" applyAlignment="1">
      <alignment horizontal="center" vertical="center" wrapText="1"/>
    </xf>
    <xf numFmtId="165" fontId="70" fillId="43" borderId="102" xfId="114" applyNumberFormat="1" applyFont="1" applyFill="1" applyBorder="1" applyAlignment="1">
      <alignment horizontal="center" vertical="center" wrapText="1"/>
    </xf>
    <xf numFmtId="165" fontId="70" fillId="2" borderId="103" xfId="114" quotePrefix="1" applyNumberFormat="1" applyFont="1" applyFill="1" applyBorder="1" applyAlignment="1">
      <alignment horizontal="center" vertical="center" wrapText="1"/>
    </xf>
    <xf numFmtId="168" fontId="3" fillId="0" borderId="0" xfId="1286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14" fillId="3" borderId="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1" borderId="14" xfId="0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/>
    </xf>
    <xf numFmtId="0" fontId="3" fillId="31" borderId="23" xfId="0" applyFont="1" applyFill="1" applyBorder="1" applyAlignment="1">
      <alignment horizontal="center"/>
    </xf>
    <xf numFmtId="0" fontId="3" fillId="31" borderId="14" xfId="0" applyFont="1" applyFill="1" applyBorder="1" applyAlignment="1">
      <alignment horizontal="center"/>
    </xf>
    <xf numFmtId="0" fontId="11" fillId="31" borderId="14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6" fontId="2" fillId="31" borderId="14" xfId="1" applyNumberFormat="1" applyFont="1" applyFill="1" applyBorder="1" applyAlignment="1">
      <alignment horizontal="center"/>
    </xf>
    <xf numFmtId="0" fontId="28" fillId="31" borderId="62" xfId="0" applyFont="1" applyFill="1" applyBorder="1" applyAlignment="1">
      <alignment horizontal="left" vertical="center" wrapText="1"/>
    </xf>
    <xf numFmtId="0" fontId="28" fillId="31" borderId="26" xfId="0" applyFont="1" applyFill="1" applyBorder="1" applyAlignment="1">
      <alignment horizontal="left" vertical="center" wrapText="1"/>
    </xf>
    <xf numFmtId="0" fontId="28" fillId="31" borderId="66" xfId="0" applyFont="1" applyFill="1" applyBorder="1" applyAlignment="1">
      <alignment horizontal="left" vertical="center" wrapText="1"/>
    </xf>
    <xf numFmtId="0" fontId="28" fillId="31" borderId="27" xfId="0" applyFont="1" applyFill="1" applyBorder="1" applyAlignment="1">
      <alignment horizontal="left" vertical="center" wrapText="1"/>
    </xf>
    <xf numFmtId="0" fontId="29" fillId="31" borderId="68" xfId="0" applyFont="1" applyFill="1" applyBorder="1" applyAlignment="1">
      <alignment horizontal="left" vertical="center"/>
    </xf>
    <xf numFmtId="0" fontId="29" fillId="31" borderId="69" xfId="0" applyFont="1" applyFill="1" applyBorder="1" applyAlignment="1">
      <alignment horizontal="left" vertical="center"/>
    </xf>
    <xf numFmtId="165" fontId="22" fillId="0" borderId="14" xfId="0" applyNumberFormat="1" applyFont="1" applyBorder="1" applyAlignment="1">
      <alignment horizontal="center" vertical="center"/>
    </xf>
    <xf numFmtId="0" fontId="26" fillId="31" borderId="14" xfId="0" applyFont="1" applyFill="1" applyBorder="1" applyAlignment="1">
      <alignment horizontal="left" vertical="center"/>
    </xf>
    <xf numFmtId="0" fontId="13" fillId="31" borderId="56" xfId="0" applyFont="1" applyFill="1" applyBorder="1" applyAlignment="1">
      <alignment horizontal="center" vertical="center" wrapText="1"/>
    </xf>
    <xf numFmtId="0" fontId="13" fillId="31" borderId="58" xfId="0" applyFont="1" applyFill="1" applyBorder="1" applyAlignment="1">
      <alignment horizontal="center" vertical="center" wrapText="1"/>
    </xf>
    <xf numFmtId="0" fontId="13" fillId="31" borderId="60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5" borderId="15" xfId="0" applyFont="1" applyFill="1" applyBorder="1" applyAlignment="1">
      <alignment vertical="center"/>
    </xf>
    <xf numFmtId="0" fontId="13" fillId="31" borderId="1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0" fontId="13" fillId="31" borderId="65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vertical="center" wrapText="1"/>
    </xf>
    <xf numFmtId="0" fontId="21" fillId="5" borderId="22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vertical="center" wrapTex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6" fillId="31" borderId="14" xfId="0" applyFont="1" applyFill="1" applyBorder="1" applyAlignment="1">
      <alignment horizontal="center" vertical="center"/>
    </xf>
    <xf numFmtId="0" fontId="0" fillId="31" borderId="14" xfId="0" applyFill="1" applyBorder="1" applyAlignment="1">
      <alignment horizontal="center"/>
    </xf>
    <xf numFmtId="2" fontId="2" fillId="31" borderId="14" xfId="0" applyNumberFormat="1" applyFont="1" applyFill="1" applyBorder="1" applyAlignment="1">
      <alignment horizontal="center"/>
    </xf>
    <xf numFmtId="165" fontId="2" fillId="31" borderId="14" xfId="1" applyNumberFormat="1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0" fillId="31" borderId="14" xfId="0" applyFont="1" applyFill="1" applyBorder="1" applyAlignment="1">
      <alignment horizontal="center" vertical="center" wrapText="1"/>
    </xf>
    <xf numFmtId="165" fontId="2" fillId="31" borderId="14" xfId="1" applyNumberFormat="1" applyFont="1" applyFill="1" applyBorder="1" applyAlignment="1">
      <alignment horizontal="center" vertical="center"/>
    </xf>
    <xf numFmtId="2" fontId="2" fillId="31" borderId="14" xfId="0" applyNumberFormat="1" applyFont="1" applyFill="1" applyBorder="1" applyAlignment="1">
      <alignment horizontal="center" vertical="center"/>
    </xf>
    <xf numFmtId="9" fontId="2" fillId="31" borderId="14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2" fillId="34" borderId="14" xfId="0" applyFont="1" applyFill="1" applyBorder="1" applyAlignment="1">
      <alignment horizontal="center" vertical="center" wrapText="1"/>
    </xf>
    <xf numFmtId="0" fontId="2" fillId="31" borderId="15" xfId="0" applyFont="1" applyFill="1" applyBorder="1" applyAlignment="1">
      <alignment horizontal="center" vertical="center"/>
    </xf>
    <xf numFmtId="0" fontId="2" fillId="31" borderId="31" xfId="0" applyFont="1" applyFill="1" applyBorder="1" applyAlignment="1">
      <alignment horizontal="center" vertical="center"/>
    </xf>
    <xf numFmtId="0" fontId="2" fillId="31" borderId="19" xfId="0" applyFont="1" applyFill="1" applyBorder="1" applyAlignment="1">
      <alignment horizontal="center" vertical="center"/>
    </xf>
    <xf numFmtId="0" fontId="21" fillId="31" borderId="14" xfId="0" applyFont="1" applyFill="1" applyBorder="1" applyAlignment="1">
      <alignment horizontal="center" vertical="center" wrapText="1"/>
    </xf>
    <xf numFmtId="0" fontId="19" fillId="31" borderId="15" xfId="0" applyFont="1" applyFill="1" applyBorder="1" applyAlignment="1">
      <alignment horizontal="center" vertical="center" wrapText="1"/>
    </xf>
    <xf numFmtId="0" fontId="19" fillId="31" borderId="31" xfId="0" applyFont="1" applyFill="1" applyBorder="1" applyAlignment="1">
      <alignment horizontal="center" vertical="center" wrapText="1"/>
    </xf>
    <xf numFmtId="0" fontId="19" fillId="31" borderId="1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53" fillId="5" borderId="3" xfId="1286" applyFont="1" applyFill="1" applyBorder="1" applyAlignment="1">
      <alignment horizontal="center" vertical="center" wrapText="1"/>
    </xf>
    <xf numFmtId="0" fontId="53" fillId="5" borderId="13" xfId="1286" applyFont="1" applyFill="1" applyBorder="1" applyAlignment="1">
      <alignment horizontal="center" vertical="center" wrapText="1"/>
    </xf>
    <xf numFmtId="0" fontId="53" fillId="5" borderId="5" xfId="1286" applyFont="1" applyFill="1" applyBorder="1" applyAlignment="1">
      <alignment horizontal="center" vertical="center" wrapText="1"/>
    </xf>
    <xf numFmtId="0" fontId="53" fillId="5" borderId="4" xfId="1286" applyFont="1" applyFill="1" applyBorder="1" applyAlignment="1">
      <alignment horizontal="center" vertical="center" wrapText="1"/>
    </xf>
    <xf numFmtId="0" fontId="26" fillId="37" borderId="4" xfId="1286" applyFont="1" applyFill="1" applyBorder="1" applyAlignment="1">
      <alignment horizontal="center" vertical="center" wrapText="1"/>
    </xf>
    <xf numFmtId="0" fontId="26" fillId="38" borderId="4" xfId="1286" applyFont="1" applyFill="1" applyBorder="1" applyAlignment="1">
      <alignment horizontal="center" vertical="center" wrapText="1"/>
    </xf>
    <xf numFmtId="0" fontId="26" fillId="2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5" borderId="3" xfId="1286" applyFont="1" applyFill="1" applyBorder="1" applyAlignment="1">
      <alignment horizontal="center" vertical="center" wrapText="1"/>
    </xf>
    <xf numFmtId="0" fontId="3" fillId="5" borderId="13" xfId="1286" applyFont="1" applyFill="1" applyBorder="1" applyAlignment="1">
      <alignment horizontal="center" vertical="center" wrapText="1"/>
    </xf>
    <xf numFmtId="0" fontId="3" fillId="5" borderId="5" xfId="1286" applyFont="1" applyFill="1" applyBorder="1" applyAlignment="1">
      <alignment horizontal="center" vertical="center" wrapText="1"/>
    </xf>
    <xf numFmtId="0" fontId="9" fillId="37" borderId="4" xfId="1286" applyFont="1" applyFill="1" applyBorder="1" applyAlignment="1">
      <alignment horizontal="center" vertical="center" wrapText="1"/>
    </xf>
    <xf numFmtId="0" fontId="9" fillId="38" borderId="4" xfId="1286" applyFont="1" applyFill="1" applyBorder="1" applyAlignment="1">
      <alignment horizontal="center" vertical="center" wrapText="1"/>
    </xf>
    <xf numFmtId="0" fontId="9" fillId="2" borderId="4" xfId="1286" applyFont="1" applyFill="1" applyBorder="1" applyAlignment="1">
      <alignment horizontal="center" vertical="center" wrapText="1"/>
    </xf>
    <xf numFmtId="0" fontId="26" fillId="0" borderId="0" xfId="1286" applyFont="1" applyAlignment="1">
      <alignment horizontal="center" vertical="center" wrapText="1"/>
    </xf>
    <xf numFmtId="0" fontId="26" fillId="37" borderId="1" xfId="1286" applyFont="1" applyFill="1" applyBorder="1" applyAlignment="1">
      <alignment horizontal="center" vertical="center" wrapText="1"/>
    </xf>
    <xf numFmtId="0" fontId="26" fillId="37" borderId="2" xfId="1286" applyFont="1" applyFill="1" applyBorder="1" applyAlignment="1">
      <alignment horizontal="center" vertical="center" wrapText="1"/>
    </xf>
    <xf numFmtId="0" fontId="26" fillId="37" borderId="12" xfId="1286" applyFont="1" applyFill="1" applyBorder="1" applyAlignment="1">
      <alignment horizontal="center" vertical="center" wrapText="1"/>
    </xf>
    <xf numFmtId="0" fontId="26" fillId="38" borderId="1" xfId="1286" applyFont="1" applyFill="1" applyBorder="1" applyAlignment="1">
      <alignment horizontal="center" vertical="center" wrapText="1"/>
    </xf>
    <xf numFmtId="0" fontId="26" fillId="38" borderId="2" xfId="1286" applyFont="1" applyFill="1" applyBorder="1" applyAlignment="1">
      <alignment horizontal="center" vertical="center" wrapText="1"/>
    </xf>
    <xf numFmtId="0" fontId="26" fillId="38" borderId="12" xfId="1286" applyFont="1" applyFill="1" applyBorder="1" applyAlignment="1">
      <alignment horizontal="center" vertical="center" wrapText="1"/>
    </xf>
    <xf numFmtId="0" fontId="26" fillId="2" borderId="1" xfId="1286" applyFont="1" applyFill="1" applyBorder="1" applyAlignment="1">
      <alignment horizontal="center" vertical="center" wrapText="1"/>
    </xf>
    <xf numFmtId="0" fontId="26" fillId="2" borderId="2" xfId="1286" applyFont="1" applyFill="1" applyBorder="1" applyAlignment="1">
      <alignment horizontal="center" vertical="center" wrapText="1"/>
    </xf>
    <xf numFmtId="0" fontId="26" fillId="2" borderId="12" xfId="1286" applyFont="1" applyFill="1" applyBorder="1" applyAlignment="1">
      <alignment horizontal="center" vertical="center" wrapText="1"/>
    </xf>
    <xf numFmtId="0" fontId="9" fillId="45" borderId="89" xfId="1286" applyFont="1" applyFill="1" applyBorder="1" applyAlignment="1">
      <alignment horizontal="center" vertical="center" wrapText="1"/>
    </xf>
    <xf numFmtId="0" fontId="9" fillId="45" borderId="96" xfId="1286" applyFont="1" applyFill="1" applyBorder="1" applyAlignment="1">
      <alignment horizontal="center" vertical="center" wrapText="1"/>
    </xf>
    <xf numFmtId="0" fontId="9" fillId="45" borderId="99" xfId="1286" applyFont="1" applyFill="1" applyBorder="1" applyAlignment="1">
      <alignment horizontal="center" vertical="center" wrapText="1"/>
    </xf>
    <xf numFmtId="0" fontId="26" fillId="2" borderId="73" xfId="1286" applyFont="1" applyFill="1" applyBorder="1" applyAlignment="1">
      <alignment horizontal="center" vertical="center" wrapText="1"/>
    </xf>
    <xf numFmtId="0" fontId="26" fillId="2" borderId="74" xfId="1286" applyFont="1" applyFill="1" applyBorder="1" applyAlignment="1">
      <alignment horizontal="center" vertical="center" wrapText="1"/>
    </xf>
    <xf numFmtId="0" fontId="26" fillId="2" borderId="75" xfId="1286" applyFont="1" applyFill="1" applyBorder="1" applyAlignment="1">
      <alignment horizontal="center" vertical="center" wrapText="1"/>
    </xf>
  </cellXfs>
  <cellStyles count="1287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10" xfId="342"/>
    <cellStyle name="Calcul 10 2" xfId="343"/>
    <cellStyle name="Calcul 10 2 2" xfId="344"/>
    <cellStyle name="Calcul 10 2 3" xfId="345"/>
    <cellStyle name="Calcul 10 3" xfId="346"/>
    <cellStyle name="Calcul 10 3 2" xfId="347"/>
    <cellStyle name="Calcul 10 4" xfId="348"/>
    <cellStyle name="Calcul 10 5" xfId="349"/>
    <cellStyle name="Calcul 11" xfId="350"/>
    <cellStyle name="Calcul 11 2" xfId="351"/>
    <cellStyle name="Calcul 11 2 2" xfId="352"/>
    <cellStyle name="Calcul 11 3" xfId="353"/>
    <cellStyle name="Calcul 11 3 2" xfId="354"/>
    <cellStyle name="Calcul 11 4" xfId="355"/>
    <cellStyle name="Calcul 12" xfId="356"/>
    <cellStyle name="Calcul 12 2" xfId="357"/>
    <cellStyle name="Calcul 2" xfId="29"/>
    <cellStyle name="Calcul 2 10" xfId="358"/>
    <cellStyle name="Calcul 2 11" xfId="359"/>
    <cellStyle name="Calcul 2 12" xfId="360"/>
    <cellStyle name="Calcul 2 2" xfId="30"/>
    <cellStyle name="Calcul 2 2 2" xfId="361"/>
    <cellStyle name="Calcul 2 2 2 2" xfId="362"/>
    <cellStyle name="Calcul 2 2 2 3" xfId="363"/>
    <cellStyle name="Calcul 2 2 2 4" xfId="364"/>
    <cellStyle name="Calcul 2 2 3" xfId="365"/>
    <cellStyle name="Calcul 2 2 3 2" xfId="366"/>
    <cellStyle name="Calcul 2 2 3 3" xfId="367"/>
    <cellStyle name="Calcul 2 2 4" xfId="368"/>
    <cellStyle name="Calcul 2 2 4 2" xfId="369"/>
    <cellStyle name="Calcul 2 2 5" xfId="370"/>
    <cellStyle name="Calcul 2 2 6" xfId="371"/>
    <cellStyle name="Calcul 2 3" xfId="31"/>
    <cellStyle name="Calcul 2 3 2" xfId="372"/>
    <cellStyle name="Calcul 2 3 3" xfId="373"/>
    <cellStyle name="Calcul 2 3 4" xfId="374"/>
    <cellStyle name="Calcul 2 4" xfId="32"/>
    <cellStyle name="Calcul 2 4 2" xfId="375"/>
    <cellStyle name="Calcul 2 4 3" xfId="376"/>
    <cellStyle name="Calcul 2 4 4" xfId="377"/>
    <cellStyle name="Calcul 2 5" xfId="176"/>
    <cellStyle name="Calcul 2 5 2" xfId="378"/>
    <cellStyle name="Calcul 2 5 3" xfId="379"/>
    <cellStyle name="Calcul 2 5 4" xfId="380"/>
    <cellStyle name="Calcul 2 6" xfId="177"/>
    <cellStyle name="Calcul 2 6 2" xfId="381"/>
    <cellStyle name="Calcul 2 7" xfId="178"/>
    <cellStyle name="Calcul 2 7 2" xfId="382"/>
    <cellStyle name="Calcul 2 8" xfId="179"/>
    <cellStyle name="Calcul 2 8 2" xfId="383"/>
    <cellStyle name="Calcul 2 9" xfId="384"/>
    <cellStyle name="Calcul 2 9 2" xfId="385"/>
    <cellStyle name="Calcul 3" xfId="33"/>
    <cellStyle name="Calcul 3 10" xfId="386"/>
    <cellStyle name="Calcul 3 11" xfId="387"/>
    <cellStyle name="Calcul 3 12" xfId="388"/>
    <cellStyle name="Calcul 3 2" xfId="34"/>
    <cellStyle name="Calcul 3 2 2" xfId="389"/>
    <cellStyle name="Calcul 3 2 2 2" xfId="390"/>
    <cellStyle name="Calcul 3 2 2 3" xfId="391"/>
    <cellStyle name="Calcul 3 2 2 4" xfId="392"/>
    <cellStyle name="Calcul 3 2 3" xfId="393"/>
    <cellStyle name="Calcul 3 2 3 2" xfId="394"/>
    <cellStyle name="Calcul 3 2 3 3" xfId="395"/>
    <cellStyle name="Calcul 3 2 4" xfId="396"/>
    <cellStyle name="Calcul 3 2 4 2" xfId="397"/>
    <cellStyle name="Calcul 3 2 5" xfId="398"/>
    <cellStyle name="Calcul 3 2 6" xfId="399"/>
    <cellStyle name="Calcul 3 3" xfId="35"/>
    <cellStyle name="Calcul 3 3 2" xfId="400"/>
    <cellStyle name="Calcul 3 3 3" xfId="401"/>
    <cellStyle name="Calcul 3 3 4" xfId="402"/>
    <cellStyle name="Calcul 3 4" xfId="36"/>
    <cellStyle name="Calcul 3 4 2" xfId="403"/>
    <cellStyle name="Calcul 3 4 3" xfId="404"/>
    <cellStyle name="Calcul 3 4 4" xfId="405"/>
    <cellStyle name="Calcul 3 5" xfId="180"/>
    <cellStyle name="Calcul 3 5 2" xfId="406"/>
    <cellStyle name="Calcul 3 5 3" xfId="407"/>
    <cellStyle name="Calcul 3 5 4" xfId="408"/>
    <cellStyle name="Calcul 3 6" xfId="181"/>
    <cellStyle name="Calcul 3 6 2" xfId="409"/>
    <cellStyle name="Calcul 3 7" xfId="182"/>
    <cellStyle name="Calcul 3 7 2" xfId="410"/>
    <cellStyle name="Calcul 3 8" xfId="183"/>
    <cellStyle name="Calcul 3 8 2" xfId="411"/>
    <cellStyle name="Calcul 3 9" xfId="412"/>
    <cellStyle name="Calcul 3 9 2" xfId="413"/>
    <cellStyle name="Calcul 4" xfId="37"/>
    <cellStyle name="Calcul 4 10" xfId="414"/>
    <cellStyle name="Calcul 4 11" xfId="415"/>
    <cellStyle name="Calcul 4 12" xfId="416"/>
    <cellStyle name="Calcul 4 2" xfId="38"/>
    <cellStyle name="Calcul 4 2 2" xfId="417"/>
    <cellStyle name="Calcul 4 2 2 2" xfId="418"/>
    <cellStyle name="Calcul 4 2 2 3" xfId="419"/>
    <cellStyle name="Calcul 4 2 2 4" xfId="420"/>
    <cellStyle name="Calcul 4 2 3" xfId="421"/>
    <cellStyle name="Calcul 4 2 3 2" xfId="422"/>
    <cellStyle name="Calcul 4 2 3 3" xfId="423"/>
    <cellStyle name="Calcul 4 2 4" xfId="424"/>
    <cellStyle name="Calcul 4 2 4 2" xfId="425"/>
    <cellStyle name="Calcul 4 2 5" xfId="426"/>
    <cellStyle name="Calcul 4 2 6" xfId="427"/>
    <cellStyle name="Calcul 4 3" xfId="39"/>
    <cellStyle name="Calcul 4 3 2" xfId="428"/>
    <cellStyle name="Calcul 4 3 3" xfId="429"/>
    <cellStyle name="Calcul 4 3 4" xfId="430"/>
    <cellStyle name="Calcul 4 4" xfId="40"/>
    <cellStyle name="Calcul 4 4 2" xfId="431"/>
    <cellStyle name="Calcul 4 4 3" xfId="432"/>
    <cellStyle name="Calcul 4 4 4" xfId="433"/>
    <cellStyle name="Calcul 4 5" xfId="184"/>
    <cellStyle name="Calcul 4 5 2" xfId="434"/>
    <cellStyle name="Calcul 4 5 3" xfId="435"/>
    <cellStyle name="Calcul 4 5 4" xfId="436"/>
    <cellStyle name="Calcul 4 6" xfId="185"/>
    <cellStyle name="Calcul 4 6 2" xfId="437"/>
    <cellStyle name="Calcul 4 7" xfId="186"/>
    <cellStyle name="Calcul 4 7 2" xfId="438"/>
    <cellStyle name="Calcul 4 8" xfId="187"/>
    <cellStyle name="Calcul 4 8 2" xfId="439"/>
    <cellStyle name="Calcul 4 9" xfId="440"/>
    <cellStyle name="Calcul 4 9 2" xfId="441"/>
    <cellStyle name="Calcul 5" xfId="41"/>
    <cellStyle name="Calcul 5 10" xfId="442"/>
    <cellStyle name="Calcul 5 11" xfId="443"/>
    <cellStyle name="Calcul 5 12" xfId="444"/>
    <cellStyle name="Calcul 5 2" xfId="42"/>
    <cellStyle name="Calcul 5 2 2" xfId="445"/>
    <cellStyle name="Calcul 5 2 3" xfId="446"/>
    <cellStyle name="Calcul 5 2 4" xfId="447"/>
    <cellStyle name="Calcul 5 3" xfId="43"/>
    <cellStyle name="Calcul 5 3 2" xfId="448"/>
    <cellStyle name="Calcul 5 3 3" xfId="449"/>
    <cellStyle name="Calcul 5 3 4" xfId="450"/>
    <cellStyle name="Calcul 5 4" xfId="44"/>
    <cellStyle name="Calcul 5 4 2" xfId="451"/>
    <cellStyle name="Calcul 5 4 3" xfId="452"/>
    <cellStyle name="Calcul 5 4 4" xfId="453"/>
    <cellStyle name="Calcul 5 5" xfId="188"/>
    <cellStyle name="Calcul 5 5 2" xfId="454"/>
    <cellStyle name="Calcul 5 6" xfId="189"/>
    <cellStyle name="Calcul 5 6 2" xfId="455"/>
    <cellStyle name="Calcul 5 7" xfId="190"/>
    <cellStyle name="Calcul 5 7 2" xfId="456"/>
    <cellStyle name="Calcul 5 8" xfId="191"/>
    <cellStyle name="Calcul 5 8 2" xfId="457"/>
    <cellStyle name="Calcul 5 9" xfId="458"/>
    <cellStyle name="Calcul 5 9 2" xfId="459"/>
    <cellStyle name="Calcul 6" xfId="45"/>
    <cellStyle name="Calcul 6 10" xfId="460"/>
    <cellStyle name="Calcul 6 11" xfId="461"/>
    <cellStyle name="Calcul 6 12" xfId="462"/>
    <cellStyle name="Calcul 6 2" xfId="46"/>
    <cellStyle name="Calcul 6 2 2" xfId="463"/>
    <cellStyle name="Calcul 6 2 3" xfId="464"/>
    <cellStyle name="Calcul 6 2 4" xfId="465"/>
    <cellStyle name="Calcul 6 3" xfId="47"/>
    <cellStyle name="Calcul 6 3 2" xfId="466"/>
    <cellStyle name="Calcul 6 3 3" xfId="467"/>
    <cellStyle name="Calcul 6 3 4" xfId="468"/>
    <cellStyle name="Calcul 6 4" xfId="48"/>
    <cellStyle name="Calcul 6 4 2" xfId="469"/>
    <cellStyle name="Calcul 6 4 3" xfId="470"/>
    <cellStyle name="Calcul 6 4 4" xfId="471"/>
    <cellStyle name="Calcul 6 5" xfId="192"/>
    <cellStyle name="Calcul 6 5 2" xfId="472"/>
    <cellStyle name="Calcul 6 6" xfId="193"/>
    <cellStyle name="Calcul 6 6 2" xfId="473"/>
    <cellStyle name="Calcul 6 7" xfId="194"/>
    <cellStyle name="Calcul 6 7 2" xfId="474"/>
    <cellStyle name="Calcul 6 8" xfId="195"/>
    <cellStyle name="Calcul 6 8 2" xfId="475"/>
    <cellStyle name="Calcul 6 9" xfId="476"/>
    <cellStyle name="Calcul 6 9 2" xfId="477"/>
    <cellStyle name="Calcul 7" xfId="49"/>
    <cellStyle name="Calcul 7 10" xfId="478"/>
    <cellStyle name="Calcul 7 11" xfId="479"/>
    <cellStyle name="Calcul 7 12" xfId="480"/>
    <cellStyle name="Calcul 7 2" xfId="50"/>
    <cellStyle name="Calcul 7 2 2" xfId="481"/>
    <cellStyle name="Calcul 7 2 3" xfId="482"/>
    <cellStyle name="Calcul 7 2 4" xfId="483"/>
    <cellStyle name="Calcul 7 3" xfId="51"/>
    <cellStyle name="Calcul 7 3 2" xfId="484"/>
    <cellStyle name="Calcul 7 3 3" xfId="485"/>
    <cellStyle name="Calcul 7 3 4" xfId="486"/>
    <cellStyle name="Calcul 7 4" xfId="52"/>
    <cellStyle name="Calcul 7 4 2" xfId="487"/>
    <cellStyle name="Calcul 7 4 3" xfId="488"/>
    <cellStyle name="Calcul 7 4 4" xfId="489"/>
    <cellStyle name="Calcul 7 5" xfId="196"/>
    <cellStyle name="Calcul 7 5 2" xfId="490"/>
    <cellStyle name="Calcul 7 6" xfId="197"/>
    <cellStyle name="Calcul 7 6 2" xfId="491"/>
    <cellStyle name="Calcul 7 7" xfId="198"/>
    <cellStyle name="Calcul 7 7 2" xfId="492"/>
    <cellStyle name="Calcul 7 8" xfId="199"/>
    <cellStyle name="Calcul 7 8 2" xfId="493"/>
    <cellStyle name="Calcul 7 9" xfId="494"/>
    <cellStyle name="Calcul 7 9 2" xfId="495"/>
    <cellStyle name="Calcul 8" xfId="200"/>
    <cellStyle name="Calcul 8 10" xfId="496"/>
    <cellStyle name="Calcul 8 11" xfId="497"/>
    <cellStyle name="Calcul 8 12" xfId="498"/>
    <cellStyle name="Calcul 8 2" xfId="201"/>
    <cellStyle name="Calcul 8 2 2" xfId="499"/>
    <cellStyle name="Calcul 8 2 3" xfId="500"/>
    <cellStyle name="Calcul 8 2 4" xfId="501"/>
    <cellStyle name="Calcul 8 3" xfId="202"/>
    <cellStyle name="Calcul 8 3 2" xfId="502"/>
    <cellStyle name="Calcul 8 3 3" xfId="503"/>
    <cellStyle name="Calcul 8 3 4" xfId="504"/>
    <cellStyle name="Calcul 8 4" xfId="203"/>
    <cellStyle name="Calcul 8 4 2" xfId="505"/>
    <cellStyle name="Calcul 8 4 3" xfId="506"/>
    <cellStyle name="Calcul 8 4 4" xfId="507"/>
    <cellStyle name="Calcul 8 5" xfId="204"/>
    <cellStyle name="Calcul 8 5 2" xfId="508"/>
    <cellStyle name="Calcul 8 6" xfId="205"/>
    <cellStyle name="Calcul 8 6 2" xfId="509"/>
    <cellStyle name="Calcul 8 7" xfId="206"/>
    <cellStyle name="Calcul 8 7 2" xfId="510"/>
    <cellStyle name="Calcul 8 8" xfId="207"/>
    <cellStyle name="Calcul 8 8 2" xfId="511"/>
    <cellStyle name="Calcul 8 9" xfId="512"/>
    <cellStyle name="Calcul 8 9 2" xfId="513"/>
    <cellStyle name="Calcul 9" xfId="514"/>
    <cellStyle name="Calcul 9 2" xfId="515"/>
    <cellStyle name="Calcul 9 2 2" xfId="516"/>
    <cellStyle name="Calcul 9 2 3" xfId="517"/>
    <cellStyle name="Calcul 9 3" xfId="518"/>
    <cellStyle name="Calcul 9 3 2" xfId="519"/>
    <cellStyle name="Calcul 9 4" xfId="520"/>
    <cellStyle name="Calcul 9 4 2" xfId="521"/>
    <cellStyle name="Calcul 9 5" xfId="522"/>
    <cellStyle name="Calcul 9 6" xfId="523"/>
    <cellStyle name="Cellule liée 2" xfId="53"/>
    <cellStyle name="Commentaire 10" xfId="524"/>
    <cellStyle name="Commentaire 10 2" xfId="525"/>
    <cellStyle name="Commentaire 10 2 2" xfId="526"/>
    <cellStyle name="Commentaire 10 2 3" xfId="527"/>
    <cellStyle name="Commentaire 10 3" xfId="528"/>
    <cellStyle name="Commentaire 10 3 2" xfId="529"/>
    <cellStyle name="Commentaire 10 4" xfId="530"/>
    <cellStyle name="Commentaire 10 5" xfId="531"/>
    <cellStyle name="Commentaire 11" xfId="532"/>
    <cellStyle name="Commentaire 11 2" xfId="533"/>
    <cellStyle name="Commentaire 11 2 2" xfId="534"/>
    <cellStyle name="Commentaire 11 3" xfId="535"/>
    <cellStyle name="Commentaire 11 3 2" xfId="536"/>
    <cellStyle name="Commentaire 11 4" xfId="537"/>
    <cellStyle name="Commentaire 12" xfId="538"/>
    <cellStyle name="Commentaire 12 2" xfId="539"/>
    <cellStyle name="Commentaire 2" xfId="54"/>
    <cellStyle name="Commentaire 2 10" xfId="540"/>
    <cellStyle name="Commentaire 2 11" xfId="541"/>
    <cellStyle name="Commentaire 2 12" xfId="542"/>
    <cellStyle name="Commentaire 2 2" xfId="55"/>
    <cellStyle name="Commentaire 2 2 2" xfId="543"/>
    <cellStyle name="Commentaire 2 2 2 2" xfId="544"/>
    <cellStyle name="Commentaire 2 2 2 3" xfId="545"/>
    <cellStyle name="Commentaire 2 2 2 4" xfId="546"/>
    <cellStyle name="Commentaire 2 2 3" xfId="547"/>
    <cellStyle name="Commentaire 2 2 3 2" xfId="548"/>
    <cellStyle name="Commentaire 2 2 3 3" xfId="549"/>
    <cellStyle name="Commentaire 2 2 4" xfId="550"/>
    <cellStyle name="Commentaire 2 2 4 2" xfId="551"/>
    <cellStyle name="Commentaire 2 2 5" xfId="552"/>
    <cellStyle name="Commentaire 2 2 6" xfId="553"/>
    <cellStyle name="Commentaire 2 3" xfId="56"/>
    <cellStyle name="Commentaire 2 3 2" xfId="554"/>
    <cellStyle name="Commentaire 2 3 3" xfId="555"/>
    <cellStyle name="Commentaire 2 3 4" xfId="556"/>
    <cellStyle name="Commentaire 2 4" xfId="57"/>
    <cellStyle name="Commentaire 2 4 2" xfId="557"/>
    <cellStyle name="Commentaire 2 4 3" xfId="558"/>
    <cellStyle name="Commentaire 2 4 4" xfId="559"/>
    <cellStyle name="Commentaire 2 5" xfId="208"/>
    <cellStyle name="Commentaire 2 5 2" xfId="560"/>
    <cellStyle name="Commentaire 2 5 3" xfId="561"/>
    <cellStyle name="Commentaire 2 5 4" xfId="562"/>
    <cellStyle name="Commentaire 2 6" xfId="209"/>
    <cellStyle name="Commentaire 2 6 2" xfId="563"/>
    <cellStyle name="Commentaire 2 7" xfId="210"/>
    <cellStyle name="Commentaire 2 7 2" xfId="564"/>
    <cellStyle name="Commentaire 2 8" xfId="211"/>
    <cellStyle name="Commentaire 2 8 2" xfId="565"/>
    <cellStyle name="Commentaire 2 9" xfId="566"/>
    <cellStyle name="Commentaire 2 9 2" xfId="567"/>
    <cellStyle name="Commentaire 3" xfId="58"/>
    <cellStyle name="Commentaire 3 10" xfId="568"/>
    <cellStyle name="Commentaire 3 11" xfId="569"/>
    <cellStyle name="Commentaire 3 12" xfId="570"/>
    <cellStyle name="Commentaire 3 2" xfId="59"/>
    <cellStyle name="Commentaire 3 2 2" xfId="571"/>
    <cellStyle name="Commentaire 3 2 2 2" xfId="572"/>
    <cellStyle name="Commentaire 3 2 2 3" xfId="573"/>
    <cellStyle name="Commentaire 3 2 2 4" xfId="574"/>
    <cellStyle name="Commentaire 3 2 3" xfId="575"/>
    <cellStyle name="Commentaire 3 2 3 2" xfId="576"/>
    <cellStyle name="Commentaire 3 2 3 3" xfId="577"/>
    <cellStyle name="Commentaire 3 2 4" xfId="578"/>
    <cellStyle name="Commentaire 3 2 4 2" xfId="579"/>
    <cellStyle name="Commentaire 3 2 5" xfId="580"/>
    <cellStyle name="Commentaire 3 2 6" xfId="581"/>
    <cellStyle name="Commentaire 3 3" xfId="60"/>
    <cellStyle name="Commentaire 3 3 2" xfId="582"/>
    <cellStyle name="Commentaire 3 3 3" xfId="583"/>
    <cellStyle name="Commentaire 3 3 4" xfId="584"/>
    <cellStyle name="Commentaire 3 4" xfId="61"/>
    <cellStyle name="Commentaire 3 4 2" xfId="585"/>
    <cellStyle name="Commentaire 3 4 3" xfId="586"/>
    <cellStyle name="Commentaire 3 4 4" xfId="587"/>
    <cellStyle name="Commentaire 3 5" xfId="212"/>
    <cellStyle name="Commentaire 3 5 2" xfId="588"/>
    <cellStyle name="Commentaire 3 5 3" xfId="589"/>
    <cellStyle name="Commentaire 3 5 4" xfId="590"/>
    <cellStyle name="Commentaire 3 6" xfId="213"/>
    <cellStyle name="Commentaire 3 6 2" xfId="591"/>
    <cellStyle name="Commentaire 3 7" xfId="214"/>
    <cellStyle name="Commentaire 3 7 2" xfId="592"/>
    <cellStyle name="Commentaire 3 8" xfId="215"/>
    <cellStyle name="Commentaire 3 8 2" xfId="593"/>
    <cellStyle name="Commentaire 3 9" xfId="594"/>
    <cellStyle name="Commentaire 3 9 2" xfId="595"/>
    <cellStyle name="Commentaire 4" xfId="62"/>
    <cellStyle name="Commentaire 4 10" xfId="596"/>
    <cellStyle name="Commentaire 4 11" xfId="597"/>
    <cellStyle name="Commentaire 4 12" xfId="598"/>
    <cellStyle name="Commentaire 4 2" xfId="63"/>
    <cellStyle name="Commentaire 4 2 2" xfId="599"/>
    <cellStyle name="Commentaire 4 2 2 2" xfId="600"/>
    <cellStyle name="Commentaire 4 2 2 3" xfId="601"/>
    <cellStyle name="Commentaire 4 2 2 4" xfId="602"/>
    <cellStyle name="Commentaire 4 2 3" xfId="603"/>
    <cellStyle name="Commentaire 4 2 3 2" xfId="604"/>
    <cellStyle name="Commentaire 4 2 3 3" xfId="605"/>
    <cellStyle name="Commentaire 4 2 4" xfId="606"/>
    <cellStyle name="Commentaire 4 2 4 2" xfId="607"/>
    <cellStyle name="Commentaire 4 2 5" xfId="608"/>
    <cellStyle name="Commentaire 4 2 6" xfId="609"/>
    <cellStyle name="Commentaire 4 3" xfId="64"/>
    <cellStyle name="Commentaire 4 3 2" xfId="610"/>
    <cellStyle name="Commentaire 4 3 3" xfId="611"/>
    <cellStyle name="Commentaire 4 3 4" xfId="612"/>
    <cellStyle name="Commentaire 4 4" xfId="65"/>
    <cellStyle name="Commentaire 4 4 2" xfId="613"/>
    <cellStyle name="Commentaire 4 4 3" xfId="614"/>
    <cellStyle name="Commentaire 4 4 4" xfId="615"/>
    <cellStyle name="Commentaire 4 5" xfId="216"/>
    <cellStyle name="Commentaire 4 5 2" xfId="616"/>
    <cellStyle name="Commentaire 4 5 3" xfId="617"/>
    <cellStyle name="Commentaire 4 5 4" xfId="618"/>
    <cellStyle name="Commentaire 4 6" xfId="217"/>
    <cellStyle name="Commentaire 4 6 2" xfId="619"/>
    <cellStyle name="Commentaire 4 7" xfId="218"/>
    <cellStyle name="Commentaire 4 7 2" xfId="620"/>
    <cellStyle name="Commentaire 4 8" xfId="219"/>
    <cellStyle name="Commentaire 4 8 2" xfId="621"/>
    <cellStyle name="Commentaire 4 9" xfId="622"/>
    <cellStyle name="Commentaire 4 9 2" xfId="623"/>
    <cellStyle name="Commentaire 5" xfId="66"/>
    <cellStyle name="Commentaire 5 10" xfId="624"/>
    <cellStyle name="Commentaire 5 11" xfId="625"/>
    <cellStyle name="Commentaire 5 12" xfId="626"/>
    <cellStyle name="Commentaire 5 2" xfId="67"/>
    <cellStyle name="Commentaire 5 2 2" xfId="627"/>
    <cellStyle name="Commentaire 5 2 3" xfId="628"/>
    <cellStyle name="Commentaire 5 2 4" xfId="629"/>
    <cellStyle name="Commentaire 5 3" xfId="68"/>
    <cellStyle name="Commentaire 5 3 2" xfId="630"/>
    <cellStyle name="Commentaire 5 3 3" xfId="631"/>
    <cellStyle name="Commentaire 5 3 4" xfId="632"/>
    <cellStyle name="Commentaire 5 4" xfId="69"/>
    <cellStyle name="Commentaire 5 4 2" xfId="633"/>
    <cellStyle name="Commentaire 5 4 3" xfId="634"/>
    <cellStyle name="Commentaire 5 4 4" xfId="635"/>
    <cellStyle name="Commentaire 5 5" xfId="220"/>
    <cellStyle name="Commentaire 5 5 2" xfId="636"/>
    <cellStyle name="Commentaire 5 6" xfId="221"/>
    <cellStyle name="Commentaire 5 6 2" xfId="637"/>
    <cellStyle name="Commentaire 5 7" xfId="222"/>
    <cellStyle name="Commentaire 5 7 2" xfId="638"/>
    <cellStyle name="Commentaire 5 8" xfId="223"/>
    <cellStyle name="Commentaire 5 8 2" xfId="639"/>
    <cellStyle name="Commentaire 5 9" xfId="640"/>
    <cellStyle name="Commentaire 5 9 2" xfId="641"/>
    <cellStyle name="Commentaire 6" xfId="70"/>
    <cellStyle name="Commentaire 6 10" xfId="642"/>
    <cellStyle name="Commentaire 6 11" xfId="643"/>
    <cellStyle name="Commentaire 6 12" xfId="644"/>
    <cellStyle name="Commentaire 6 2" xfId="71"/>
    <cellStyle name="Commentaire 6 2 2" xfId="645"/>
    <cellStyle name="Commentaire 6 2 3" xfId="646"/>
    <cellStyle name="Commentaire 6 2 4" xfId="647"/>
    <cellStyle name="Commentaire 6 3" xfId="72"/>
    <cellStyle name="Commentaire 6 3 2" xfId="648"/>
    <cellStyle name="Commentaire 6 3 3" xfId="649"/>
    <cellStyle name="Commentaire 6 3 4" xfId="650"/>
    <cellStyle name="Commentaire 6 4" xfId="73"/>
    <cellStyle name="Commentaire 6 4 2" xfId="651"/>
    <cellStyle name="Commentaire 6 4 3" xfId="652"/>
    <cellStyle name="Commentaire 6 4 4" xfId="653"/>
    <cellStyle name="Commentaire 6 5" xfId="224"/>
    <cellStyle name="Commentaire 6 5 2" xfId="654"/>
    <cellStyle name="Commentaire 6 6" xfId="225"/>
    <cellStyle name="Commentaire 6 6 2" xfId="655"/>
    <cellStyle name="Commentaire 6 7" xfId="226"/>
    <cellStyle name="Commentaire 6 7 2" xfId="656"/>
    <cellStyle name="Commentaire 6 8" xfId="227"/>
    <cellStyle name="Commentaire 6 8 2" xfId="657"/>
    <cellStyle name="Commentaire 6 9" xfId="658"/>
    <cellStyle name="Commentaire 6 9 2" xfId="659"/>
    <cellStyle name="Commentaire 7" xfId="74"/>
    <cellStyle name="Commentaire 7 10" xfId="660"/>
    <cellStyle name="Commentaire 7 11" xfId="661"/>
    <cellStyle name="Commentaire 7 12" xfId="662"/>
    <cellStyle name="Commentaire 7 2" xfId="75"/>
    <cellStyle name="Commentaire 7 2 2" xfId="663"/>
    <cellStyle name="Commentaire 7 2 3" xfId="664"/>
    <cellStyle name="Commentaire 7 2 4" xfId="665"/>
    <cellStyle name="Commentaire 7 3" xfId="76"/>
    <cellStyle name="Commentaire 7 3 2" xfId="666"/>
    <cellStyle name="Commentaire 7 3 3" xfId="667"/>
    <cellStyle name="Commentaire 7 3 4" xfId="668"/>
    <cellStyle name="Commentaire 7 4" xfId="77"/>
    <cellStyle name="Commentaire 7 4 2" xfId="669"/>
    <cellStyle name="Commentaire 7 4 3" xfId="670"/>
    <cellStyle name="Commentaire 7 4 4" xfId="671"/>
    <cellStyle name="Commentaire 7 5" xfId="228"/>
    <cellStyle name="Commentaire 7 5 2" xfId="672"/>
    <cellStyle name="Commentaire 7 6" xfId="229"/>
    <cellStyle name="Commentaire 7 6 2" xfId="673"/>
    <cellStyle name="Commentaire 7 7" xfId="230"/>
    <cellStyle name="Commentaire 7 7 2" xfId="674"/>
    <cellStyle name="Commentaire 7 8" xfId="231"/>
    <cellStyle name="Commentaire 7 8 2" xfId="675"/>
    <cellStyle name="Commentaire 7 9" xfId="676"/>
    <cellStyle name="Commentaire 7 9 2" xfId="677"/>
    <cellStyle name="Commentaire 8" xfId="232"/>
    <cellStyle name="Commentaire 8 10" xfId="678"/>
    <cellStyle name="Commentaire 8 11" xfId="679"/>
    <cellStyle name="Commentaire 8 12" xfId="680"/>
    <cellStyle name="Commentaire 8 2" xfId="233"/>
    <cellStyle name="Commentaire 8 2 2" xfId="681"/>
    <cellStyle name="Commentaire 8 2 3" xfId="682"/>
    <cellStyle name="Commentaire 8 2 4" xfId="683"/>
    <cellStyle name="Commentaire 8 3" xfId="234"/>
    <cellStyle name="Commentaire 8 3 2" xfId="684"/>
    <cellStyle name="Commentaire 8 3 3" xfId="685"/>
    <cellStyle name="Commentaire 8 3 4" xfId="686"/>
    <cellStyle name="Commentaire 8 4" xfId="235"/>
    <cellStyle name="Commentaire 8 4 2" xfId="687"/>
    <cellStyle name="Commentaire 8 4 3" xfId="688"/>
    <cellStyle name="Commentaire 8 4 4" xfId="689"/>
    <cellStyle name="Commentaire 8 5" xfId="236"/>
    <cellStyle name="Commentaire 8 5 2" xfId="690"/>
    <cellStyle name="Commentaire 8 6" xfId="237"/>
    <cellStyle name="Commentaire 8 6 2" xfId="691"/>
    <cellStyle name="Commentaire 8 7" xfId="238"/>
    <cellStyle name="Commentaire 8 7 2" xfId="692"/>
    <cellStyle name="Commentaire 8 8" xfId="239"/>
    <cellStyle name="Commentaire 8 8 2" xfId="693"/>
    <cellStyle name="Commentaire 8 9" xfId="694"/>
    <cellStyle name="Commentaire 8 9 2" xfId="695"/>
    <cellStyle name="Commentaire 9" xfId="696"/>
    <cellStyle name="Commentaire 9 2" xfId="697"/>
    <cellStyle name="Commentaire 9 2 2" xfId="698"/>
    <cellStyle name="Commentaire 9 2 3" xfId="699"/>
    <cellStyle name="Commentaire 9 3" xfId="700"/>
    <cellStyle name="Commentaire 9 3 2" xfId="701"/>
    <cellStyle name="Commentaire 9 4" xfId="702"/>
    <cellStyle name="Commentaire 9 4 2" xfId="703"/>
    <cellStyle name="Commentaire 9 5" xfId="704"/>
    <cellStyle name="Commentaire 9 6" xfId="705"/>
    <cellStyle name="Entrée 10" xfId="706"/>
    <cellStyle name="Entrée 10 2" xfId="707"/>
    <cellStyle name="Entrée 10 2 2" xfId="708"/>
    <cellStyle name="Entrée 10 2 3" xfId="709"/>
    <cellStyle name="Entrée 10 3" xfId="710"/>
    <cellStyle name="Entrée 10 3 2" xfId="711"/>
    <cellStyle name="Entrée 10 4" xfId="712"/>
    <cellStyle name="Entrée 10 5" xfId="713"/>
    <cellStyle name="Entrée 11" xfId="714"/>
    <cellStyle name="Entrée 11 2" xfId="715"/>
    <cellStyle name="Entrée 11 2 2" xfId="716"/>
    <cellStyle name="Entrée 11 3" xfId="717"/>
    <cellStyle name="Entrée 11 3 2" xfId="718"/>
    <cellStyle name="Entrée 11 4" xfId="719"/>
    <cellStyle name="Entrée 12" xfId="720"/>
    <cellStyle name="Entrée 12 2" xfId="721"/>
    <cellStyle name="Entrée 2" xfId="78"/>
    <cellStyle name="Entrée 2 10" xfId="722"/>
    <cellStyle name="Entrée 2 11" xfId="723"/>
    <cellStyle name="Entrée 2 12" xfId="724"/>
    <cellStyle name="Entrée 2 2" xfId="79"/>
    <cellStyle name="Entrée 2 2 2" xfId="725"/>
    <cellStyle name="Entrée 2 2 2 2" xfId="726"/>
    <cellStyle name="Entrée 2 2 2 3" xfId="727"/>
    <cellStyle name="Entrée 2 2 2 4" xfId="728"/>
    <cellStyle name="Entrée 2 2 3" xfId="729"/>
    <cellStyle name="Entrée 2 2 3 2" xfId="730"/>
    <cellStyle name="Entrée 2 2 3 3" xfId="731"/>
    <cellStyle name="Entrée 2 2 4" xfId="732"/>
    <cellStyle name="Entrée 2 2 4 2" xfId="733"/>
    <cellStyle name="Entrée 2 2 5" xfId="734"/>
    <cellStyle name="Entrée 2 2 6" xfId="735"/>
    <cellStyle name="Entrée 2 3" xfId="80"/>
    <cellStyle name="Entrée 2 3 2" xfId="736"/>
    <cellStyle name="Entrée 2 3 3" xfId="737"/>
    <cellStyle name="Entrée 2 3 4" xfId="738"/>
    <cellStyle name="Entrée 2 4" xfId="81"/>
    <cellStyle name="Entrée 2 4 2" xfId="739"/>
    <cellStyle name="Entrée 2 4 3" xfId="740"/>
    <cellStyle name="Entrée 2 4 4" xfId="741"/>
    <cellStyle name="Entrée 2 5" xfId="240"/>
    <cellStyle name="Entrée 2 5 2" xfId="742"/>
    <cellStyle name="Entrée 2 5 3" xfId="743"/>
    <cellStyle name="Entrée 2 5 4" xfId="744"/>
    <cellStyle name="Entrée 2 6" xfId="241"/>
    <cellStyle name="Entrée 2 6 2" xfId="745"/>
    <cellStyle name="Entrée 2 7" xfId="242"/>
    <cellStyle name="Entrée 2 7 2" xfId="746"/>
    <cellStyle name="Entrée 2 8" xfId="243"/>
    <cellStyle name="Entrée 2 8 2" xfId="747"/>
    <cellStyle name="Entrée 2 9" xfId="748"/>
    <cellStyle name="Entrée 2 9 2" xfId="749"/>
    <cellStyle name="Entrée 3" xfId="82"/>
    <cellStyle name="Entrée 3 10" xfId="750"/>
    <cellStyle name="Entrée 3 11" xfId="751"/>
    <cellStyle name="Entrée 3 12" xfId="752"/>
    <cellStyle name="Entrée 3 2" xfId="83"/>
    <cellStyle name="Entrée 3 2 2" xfId="753"/>
    <cellStyle name="Entrée 3 2 2 2" xfId="754"/>
    <cellStyle name="Entrée 3 2 2 3" xfId="755"/>
    <cellStyle name="Entrée 3 2 2 4" xfId="756"/>
    <cellStyle name="Entrée 3 2 3" xfId="757"/>
    <cellStyle name="Entrée 3 2 3 2" xfId="758"/>
    <cellStyle name="Entrée 3 2 3 3" xfId="759"/>
    <cellStyle name="Entrée 3 2 4" xfId="760"/>
    <cellStyle name="Entrée 3 2 4 2" xfId="761"/>
    <cellStyle name="Entrée 3 2 5" xfId="762"/>
    <cellStyle name="Entrée 3 2 6" xfId="763"/>
    <cellStyle name="Entrée 3 3" xfId="84"/>
    <cellStyle name="Entrée 3 3 2" xfId="764"/>
    <cellStyle name="Entrée 3 3 3" xfId="765"/>
    <cellStyle name="Entrée 3 3 4" xfId="766"/>
    <cellStyle name="Entrée 3 4" xfId="85"/>
    <cellStyle name="Entrée 3 4 2" xfId="767"/>
    <cellStyle name="Entrée 3 4 3" xfId="768"/>
    <cellStyle name="Entrée 3 4 4" xfId="769"/>
    <cellStyle name="Entrée 3 5" xfId="244"/>
    <cellStyle name="Entrée 3 5 2" xfId="770"/>
    <cellStyle name="Entrée 3 5 3" xfId="771"/>
    <cellStyle name="Entrée 3 5 4" xfId="772"/>
    <cellStyle name="Entrée 3 6" xfId="245"/>
    <cellStyle name="Entrée 3 6 2" xfId="773"/>
    <cellStyle name="Entrée 3 7" xfId="246"/>
    <cellStyle name="Entrée 3 7 2" xfId="774"/>
    <cellStyle name="Entrée 3 8" xfId="247"/>
    <cellStyle name="Entrée 3 8 2" xfId="775"/>
    <cellStyle name="Entrée 3 9" xfId="776"/>
    <cellStyle name="Entrée 3 9 2" xfId="777"/>
    <cellStyle name="Entrée 4" xfId="86"/>
    <cellStyle name="Entrée 4 10" xfId="778"/>
    <cellStyle name="Entrée 4 11" xfId="779"/>
    <cellStyle name="Entrée 4 12" xfId="780"/>
    <cellStyle name="Entrée 4 2" xfId="87"/>
    <cellStyle name="Entrée 4 2 2" xfId="781"/>
    <cellStyle name="Entrée 4 2 2 2" xfId="782"/>
    <cellStyle name="Entrée 4 2 2 3" xfId="783"/>
    <cellStyle name="Entrée 4 2 2 4" xfId="784"/>
    <cellStyle name="Entrée 4 2 3" xfId="785"/>
    <cellStyle name="Entrée 4 2 3 2" xfId="786"/>
    <cellStyle name="Entrée 4 2 3 3" xfId="787"/>
    <cellStyle name="Entrée 4 2 4" xfId="788"/>
    <cellStyle name="Entrée 4 2 4 2" xfId="789"/>
    <cellStyle name="Entrée 4 2 5" xfId="790"/>
    <cellStyle name="Entrée 4 2 6" xfId="791"/>
    <cellStyle name="Entrée 4 3" xfId="88"/>
    <cellStyle name="Entrée 4 3 2" xfId="792"/>
    <cellStyle name="Entrée 4 3 3" xfId="793"/>
    <cellStyle name="Entrée 4 3 4" xfId="794"/>
    <cellStyle name="Entrée 4 4" xfId="89"/>
    <cellStyle name="Entrée 4 4 2" xfId="795"/>
    <cellStyle name="Entrée 4 4 3" xfId="796"/>
    <cellStyle name="Entrée 4 4 4" xfId="797"/>
    <cellStyle name="Entrée 4 5" xfId="248"/>
    <cellStyle name="Entrée 4 5 2" xfId="798"/>
    <cellStyle name="Entrée 4 5 3" xfId="799"/>
    <cellStyle name="Entrée 4 5 4" xfId="800"/>
    <cellStyle name="Entrée 4 6" xfId="249"/>
    <cellStyle name="Entrée 4 6 2" xfId="801"/>
    <cellStyle name="Entrée 4 7" xfId="250"/>
    <cellStyle name="Entrée 4 7 2" xfId="802"/>
    <cellStyle name="Entrée 4 8" xfId="251"/>
    <cellStyle name="Entrée 4 8 2" xfId="803"/>
    <cellStyle name="Entrée 4 9" xfId="804"/>
    <cellStyle name="Entrée 4 9 2" xfId="805"/>
    <cellStyle name="Entrée 5" xfId="90"/>
    <cellStyle name="Entrée 5 10" xfId="806"/>
    <cellStyle name="Entrée 5 11" xfId="807"/>
    <cellStyle name="Entrée 5 12" xfId="808"/>
    <cellStyle name="Entrée 5 2" xfId="91"/>
    <cellStyle name="Entrée 5 2 2" xfId="809"/>
    <cellStyle name="Entrée 5 2 3" xfId="810"/>
    <cellStyle name="Entrée 5 2 4" xfId="811"/>
    <cellStyle name="Entrée 5 3" xfId="92"/>
    <cellStyle name="Entrée 5 3 2" xfId="812"/>
    <cellStyle name="Entrée 5 3 3" xfId="813"/>
    <cellStyle name="Entrée 5 3 4" xfId="814"/>
    <cellStyle name="Entrée 5 4" xfId="93"/>
    <cellStyle name="Entrée 5 4 2" xfId="815"/>
    <cellStyle name="Entrée 5 4 3" xfId="816"/>
    <cellStyle name="Entrée 5 4 4" xfId="817"/>
    <cellStyle name="Entrée 5 5" xfId="252"/>
    <cellStyle name="Entrée 5 5 2" xfId="818"/>
    <cellStyle name="Entrée 5 6" xfId="253"/>
    <cellStyle name="Entrée 5 6 2" xfId="819"/>
    <cellStyle name="Entrée 5 7" xfId="254"/>
    <cellStyle name="Entrée 5 7 2" xfId="820"/>
    <cellStyle name="Entrée 5 8" xfId="255"/>
    <cellStyle name="Entrée 5 8 2" xfId="821"/>
    <cellStyle name="Entrée 5 9" xfId="822"/>
    <cellStyle name="Entrée 5 9 2" xfId="823"/>
    <cellStyle name="Entrée 6" xfId="94"/>
    <cellStyle name="Entrée 6 10" xfId="824"/>
    <cellStyle name="Entrée 6 11" xfId="825"/>
    <cellStyle name="Entrée 6 12" xfId="826"/>
    <cellStyle name="Entrée 6 2" xfId="95"/>
    <cellStyle name="Entrée 6 2 2" xfId="827"/>
    <cellStyle name="Entrée 6 2 3" xfId="828"/>
    <cellStyle name="Entrée 6 2 4" xfId="829"/>
    <cellStyle name="Entrée 6 3" xfId="96"/>
    <cellStyle name="Entrée 6 3 2" xfId="830"/>
    <cellStyle name="Entrée 6 3 3" xfId="831"/>
    <cellStyle name="Entrée 6 3 4" xfId="832"/>
    <cellStyle name="Entrée 6 4" xfId="97"/>
    <cellStyle name="Entrée 6 4 2" xfId="833"/>
    <cellStyle name="Entrée 6 4 3" xfId="834"/>
    <cellStyle name="Entrée 6 4 4" xfId="835"/>
    <cellStyle name="Entrée 6 5" xfId="256"/>
    <cellStyle name="Entrée 6 5 2" xfId="836"/>
    <cellStyle name="Entrée 6 6" xfId="257"/>
    <cellStyle name="Entrée 6 6 2" xfId="837"/>
    <cellStyle name="Entrée 6 7" xfId="258"/>
    <cellStyle name="Entrée 6 7 2" xfId="838"/>
    <cellStyle name="Entrée 6 8" xfId="259"/>
    <cellStyle name="Entrée 6 8 2" xfId="839"/>
    <cellStyle name="Entrée 6 9" xfId="840"/>
    <cellStyle name="Entrée 6 9 2" xfId="841"/>
    <cellStyle name="Entrée 7" xfId="98"/>
    <cellStyle name="Entrée 7 10" xfId="842"/>
    <cellStyle name="Entrée 7 11" xfId="843"/>
    <cellStyle name="Entrée 7 12" xfId="844"/>
    <cellStyle name="Entrée 7 2" xfId="99"/>
    <cellStyle name="Entrée 7 2 2" xfId="845"/>
    <cellStyle name="Entrée 7 2 3" xfId="846"/>
    <cellStyle name="Entrée 7 2 4" xfId="847"/>
    <cellStyle name="Entrée 7 3" xfId="100"/>
    <cellStyle name="Entrée 7 3 2" xfId="848"/>
    <cellStyle name="Entrée 7 3 3" xfId="849"/>
    <cellStyle name="Entrée 7 3 4" xfId="850"/>
    <cellStyle name="Entrée 7 4" xfId="101"/>
    <cellStyle name="Entrée 7 4 2" xfId="851"/>
    <cellStyle name="Entrée 7 4 3" xfId="852"/>
    <cellStyle name="Entrée 7 4 4" xfId="853"/>
    <cellStyle name="Entrée 7 5" xfId="260"/>
    <cellStyle name="Entrée 7 5 2" xfId="854"/>
    <cellStyle name="Entrée 7 6" xfId="261"/>
    <cellStyle name="Entrée 7 6 2" xfId="855"/>
    <cellStyle name="Entrée 7 7" xfId="262"/>
    <cellStyle name="Entrée 7 7 2" xfId="856"/>
    <cellStyle name="Entrée 7 8" xfId="263"/>
    <cellStyle name="Entrée 7 8 2" xfId="857"/>
    <cellStyle name="Entrée 7 9" xfId="858"/>
    <cellStyle name="Entrée 7 9 2" xfId="859"/>
    <cellStyle name="Entrée 8" xfId="264"/>
    <cellStyle name="Entrée 8 10" xfId="860"/>
    <cellStyle name="Entrée 8 11" xfId="861"/>
    <cellStyle name="Entrée 8 12" xfId="862"/>
    <cellStyle name="Entrée 8 2" xfId="265"/>
    <cellStyle name="Entrée 8 2 2" xfId="863"/>
    <cellStyle name="Entrée 8 2 3" xfId="864"/>
    <cellStyle name="Entrée 8 2 4" xfId="865"/>
    <cellStyle name="Entrée 8 3" xfId="266"/>
    <cellStyle name="Entrée 8 3 2" xfId="866"/>
    <cellStyle name="Entrée 8 3 3" xfId="867"/>
    <cellStyle name="Entrée 8 3 4" xfId="868"/>
    <cellStyle name="Entrée 8 4" xfId="267"/>
    <cellStyle name="Entrée 8 4 2" xfId="869"/>
    <cellStyle name="Entrée 8 4 3" xfId="870"/>
    <cellStyle name="Entrée 8 4 4" xfId="871"/>
    <cellStyle name="Entrée 8 5" xfId="268"/>
    <cellStyle name="Entrée 8 5 2" xfId="872"/>
    <cellStyle name="Entrée 8 6" xfId="269"/>
    <cellStyle name="Entrée 8 6 2" xfId="873"/>
    <cellStyle name="Entrée 8 7" xfId="270"/>
    <cellStyle name="Entrée 8 7 2" xfId="874"/>
    <cellStyle name="Entrée 8 8" xfId="271"/>
    <cellStyle name="Entrée 8 8 2" xfId="875"/>
    <cellStyle name="Entrée 8 9" xfId="876"/>
    <cellStyle name="Entrée 8 9 2" xfId="877"/>
    <cellStyle name="Entrée 9" xfId="878"/>
    <cellStyle name="Entrée 9 2" xfId="879"/>
    <cellStyle name="Entrée 9 2 2" xfId="880"/>
    <cellStyle name="Entrée 9 2 3" xfId="881"/>
    <cellStyle name="Entrée 9 3" xfId="882"/>
    <cellStyle name="Entrée 9 3 2" xfId="883"/>
    <cellStyle name="Entrée 9 4" xfId="884"/>
    <cellStyle name="Entrée 9 4 2" xfId="885"/>
    <cellStyle name="Entrée 9 5" xfId="886"/>
    <cellStyle name="Entrée 9 6" xfId="887"/>
    <cellStyle name="Insatisfaisant 2" xfId="102"/>
    <cellStyle name="Milliers" xfId="340" builtinId="3"/>
    <cellStyle name="Milliers 2" xfId="103"/>
    <cellStyle name="Milliers 2 2" xfId="175"/>
    <cellStyle name="Milliers 3" xfId="104"/>
    <cellStyle name="Neutre 2" xfId="105"/>
    <cellStyle name="Normal" xfId="0" builtinId="0"/>
    <cellStyle name="Normal 10" xfId="338"/>
    <cellStyle name="Normal 11" xfId="341"/>
    <cellStyle name="Normal 12" xfId="1285"/>
    <cellStyle name="Normal 13" xfId="1286"/>
    <cellStyle name="Normal 2" xfId="2"/>
    <cellStyle name="Normal 2 2" xfId="106"/>
    <cellStyle name="Normal 2 3" xfId="174"/>
    <cellStyle name="Normal 3" xfId="107"/>
    <cellStyle name="Normal 4" xfId="108"/>
    <cellStyle name="Normal 4 2" xfId="337"/>
    <cellStyle name="Normal 4 2 2" xfId="888"/>
    <cellStyle name="Normal 4 2 2 2" xfId="889"/>
    <cellStyle name="Normal 4 2 2 2 2" xfId="890"/>
    <cellStyle name="Normal 4 2 2 3" xfId="891"/>
    <cellStyle name="Normal 4 2 2 4" xfId="892"/>
    <cellStyle name="Normal 4 2 3" xfId="893"/>
    <cellStyle name="Normal 4 2 3 2" xfId="894"/>
    <cellStyle name="Normal 4 2 4" xfId="895"/>
    <cellStyle name="Normal 4 2 5" xfId="896"/>
    <cellStyle name="Normal 4 3" xfId="339"/>
    <cellStyle name="Normal 4 3 2" xfId="897"/>
    <cellStyle name="Normal 4 3 2 2" xfId="898"/>
    <cellStyle name="Normal 4 3 3" xfId="899"/>
    <cellStyle name="Normal 4 3 4" xfId="900"/>
    <cellStyle name="Normal 4 4" xfId="901"/>
    <cellStyle name="Normal 4 4 2" xfId="902"/>
    <cellStyle name="Normal 4 4 2 2" xfId="903"/>
    <cellStyle name="Normal 4 4 3" xfId="904"/>
    <cellStyle name="Normal 4 4 4" xfId="905"/>
    <cellStyle name="Normal 4 5" xfId="906"/>
    <cellStyle name="Normal 4 5 2" xfId="907"/>
    <cellStyle name="Normal 4 5 3" xfId="908"/>
    <cellStyle name="Normal 4 6" xfId="909"/>
    <cellStyle name="Normal 4 7" xfId="910"/>
    <cellStyle name="Normal 5" xfId="109"/>
    <cellStyle name="Normal 5 2" xfId="110"/>
    <cellStyle name="Normal 5 3" xfId="911"/>
    <cellStyle name="Normal 5 4" xfId="1282"/>
    <cellStyle name="Normal 6" xfId="111"/>
    <cellStyle name="Normal 7" xfId="112"/>
    <cellStyle name="Normal 8" xfId="113"/>
    <cellStyle name="Normal 9" xfId="336"/>
    <cellStyle name="Pourcentage" xfId="1" builtinId="5"/>
    <cellStyle name="Pourcentage 2" xfId="3"/>
    <cellStyle name="Pourcentage 3" xfId="114"/>
    <cellStyle name="Pourcentage 3 2" xfId="115"/>
    <cellStyle name="Pourcentage 3 3" xfId="912"/>
    <cellStyle name="Pourcentage 3 4" xfId="1283"/>
    <cellStyle name="Pourcentage 4" xfId="116"/>
    <cellStyle name="Pourcentage 4 2" xfId="913"/>
    <cellStyle name="Pourcentage 5" xfId="117"/>
    <cellStyle name="Pourcentage 5 2" xfId="914"/>
    <cellStyle name="Pourcentage 6" xfId="915"/>
    <cellStyle name="Pourcentage 7" xfId="916"/>
    <cellStyle name="Pourcentage 7 2" xfId="1284"/>
    <cellStyle name="Pourcentage 8" xfId="917"/>
    <cellStyle name="Satisfaisant 2" xfId="118"/>
    <cellStyle name="Sortie 10" xfId="918"/>
    <cellStyle name="Sortie 10 2" xfId="919"/>
    <cellStyle name="Sortie 10 2 2" xfId="920"/>
    <cellStyle name="Sortie 10 2 3" xfId="921"/>
    <cellStyle name="Sortie 10 3" xfId="922"/>
    <cellStyle name="Sortie 10 3 2" xfId="923"/>
    <cellStyle name="Sortie 10 4" xfId="924"/>
    <cellStyle name="Sortie 10 5" xfId="925"/>
    <cellStyle name="Sortie 11" xfId="926"/>
    <cellStyle name="Sortie 11 2" xfId="927"/>
    <cellStyle name="Sortie 11 2 2" xfId="928"/>
    <cellStyle name="Sortie 11 3" xfId="929"/>
    <cellStyle name="Sortie 11 3 2" xfId="930"/>
    <cellStyle name="Sortie 11 4" xfId="931"/>
    <cellStyle name="Sortie 12" xfId="932"/>
    <cellStyle name="Sortie 12 2" xfId="933"/>
    <cellStyle name="Sortie 2" xfId="119"/>
    <cellStyle name="Sortie 2 10" xfId="934"/>
    <cellStyle name="Sortie 2 11" xfId="935"/>
    <cellStyle name="Sortie 2 12" xfId="936"/>
    <cellStyle name="Sortie 2 2" xfId="120"/>
    <cellStyle name="Sortie 2 2 2" xfId="937"/>
    <cellStyle name="Sortie 2 2 2 2" xfId="938"/>
    <cellStyle name="Sortie 2 2 2 3" xfId="939"/>
    <cellStyle name="Sortie 2 2 2 4" xfId="940"/>
    <cellStyle name="Sortie 2 2 3" xfId="941"/>
    <cellStyle name="Sortie 2 2 3 2" xfId="942"/>
    <cellStyle name="Sortie 2 2 3 3" xfId="943"/>
    <cellStyle name="Sortie 2 2 4" xfId="944"/>
    <cellStyle name="Sortie 2 2 4 2" xfId="945"/>
    <cellStyle name="Sortie 2 2 5" xfId="946"/>
    <cellStyle name="Sortie 2 2 6" xfId="947"/>
    <cellStyle name="Sortie 2 3" xfId="121"/>
    <cellStyle name="Sortie 2 3 2" xfId="948"/>
    <cellStyle name="Sortie 2 3 3" xfId="949"/>
    <cellStyle name="Sortie 2 3 4" xfId="950"/>
    <cellStyle name="Sortie 2 4" xfId="122"/>
    <cellStyle name="Sortie 2 4 2" xfId="951"/>
    <cellStyle name="Sortie 2 4 3" xfId="952"/>
    <cellStyle name="Sortie 2 4 4" xfId="953"/>
    <cellStyle name="Sortie 2 5" xfId="272"/>
    <cellStyle name="Sortie 2 5 2" xfId="954"/>
    <cellStyle name="Sortie 2 5 3" xfId="955"/>
    <cellStyle name="Sortie 2 5 4" xfId="956"/>
    <cellStyle name="Sortie 2 6" xfId="273"/>
    <cellStyle name="Sortie 2 6 2" xfId="957"/>
    <cellStyle name="Sortie 2 7" xfId="274"/>
    <cellStyle name="Sortie 2 7 2" xfId="958"/>
    <cellStyle name="Sortie 2 8" xfId="275"/>
    <cellStyle name="Sortie 2 8 2" xfId="959"/>
    <cellStyle name="Sortie 2 9" xfId="960"/>
    <cellStyle name="Sortie 2 9 2" xfId="961"/>
    <cellStyle name="Sortie 3" xfId="123"/>
    <cellStyle name="Sortie 3 10" xfId="962"/>
    <cellStyle name="Sortie 3 11" xfId="963"/>
    <cellStyle name="Sortie 3 12" xfId="964"/>
    <cellStyle name="Sortie 3 2" xfId="124"/>
    <cellStyle name="Sortie 3 2 2" xfId="965"/>
    <cellStyle name="Sortie 3 2 2 2" xfId="966"/>
    <cellStyle name="Sortie 3 2 2 3" xfId="967"/>
    <cellStyle name="Sortie 3 2 2 4" xfId="968"/>
    <cellStyle name="Sortie 3 2 3" xfId="969"/>
    <cellStyle name="Sortie 3 2 3 2" xfId="970"/>
    <cellStyle name="Sortie 3 2 3 3" xfId="971"/>
    <cellStyle name="Sortie 3 2 4" xfId="972"/>
    <cellStyle name="Sortie 3 2 4 2" xfId="973"/>
    <cellStyle name="Sortie 3 2 5" xfId="974"/>
    <cellStyle name="Sortie 3 2 6" xfId="975"/>
    <cellStyle name="Sortie 3 3" xfId="125"/>
    <cellStyle name="Sortie 3 3 2" xfId="976"/>
    <cellStyle name="Sortie 3 3 3" xfId="977"/>
    <cellStyle name="Sortie 3 3 4" xfId="978"/>
    <cellStyle name="Sortie 3 4" xfId="126"/>
    <cellStyle name="Sortie 3 4 2" xfId="979"/>
    <cellStyle name="Sortie 3 4 3" xfId="980"/>
    <cellStyle name="Sortie 3 4 4" xfId="981"/>
    <cellStyle name="Sortie 3 5" xfId="276"/>
    <cellStyle name="Sortie 3 5 2" xfId="982"/>
    <cellStyle name="Sortie 3 5 3" xfId="983"/>
    <cellStyle name="Sortie 3 5 4" xfId="984"/>
    <cellStyle name="Sortie 3 6" xfId="277"/>
    <cellStyle name="Sortie 3 6 2" xfId="985"/>
    <cellStyle name="Sortie 3 7" xfId="278"/>
    <cellStyle name="Sortie 3 7 2" xfId="986"/>
    <cellStyle name="Sortie 3 8" xfId="279"/>
    <cellStyle name="Sortie 3 8 2" xfId="987"/>
    <cellStyle name="Sortie 3 9" xfId="988"/>
    <cellStyle name="Sortie 3 9 2" xfId="989"/>
    <cellStyle name="Sortie 4" xfId="127"/>
    <cellStyle name="Sortie 4 10" xfId="990"/>
    <cellStyle name="Sortie 4 11" xfId="991"/>
    <cellStyle name="Sortie 4 12" xfId="992"/>
    <cellStyle name="Sortie 4 2" xfId="128"/>
    <cellStyle name="Sortie 4 2 2" xfId="993"/>
    <cellStyle name="Sortie 4 2 2 2" xfId="994"/>
    <cellStyle name="Sortie 4 2 2 3" xfId="995"/>
    <cellStyle name="Sortie 4 2 2 4" xfId="996"/>
    <cellStyle name="Sortie 4 2 3" xfId="997"/>
    <cellStyle name="Sortie 4 2 3 2" xfId="998"/>
    <cellStyle name="Sortie 4 2 3 3" xfId="999"/>
    <cellStyle name="Sortie 4 2 4" xfId="1000"/>
    <cellStyle name="Sortie 4 2 4 2" xfId="1001"/>
    <cellStyle name="Sortie 4 2 5" xfId="1002"/>
    <cellStyle name="Sortie 4 2 6" xfId="1003"/>
    <cellStyle name="Sortie 4 3" xfId="129"/>
    <cellStyle name="Sortie 4 3 2" xfId="1004"/>
    <cellStyle name="Sortie 4 3 3" xfId="1005"/>
    <cellStyle name="Sortie 4 3 4" xfId="1006"/>
    <cellStyle name="Sortie 4 4" xfId="130"/>
    <cellStyle name="Sortie 4 4 2" xfId="1007"/>
    <cellStyle name="Sortie 4 4 3" xfId="1008"/>
    <cellStyle name="Sortie 4 4 4" xfId="1009"/>
    <cellStyle name="Sortie 4 5" xfId="280"/>
    <cellStyle name="Sortie 4 5 2" xfId="1010"/>
    <cellStyle name="Sortie 4 5 3" xfId="1011"/>
    <cellStyle name="Sortie 4 5 4" xfId="1012"/>
    <cellStyle name="Sortie 4 6" xfId="281"/>
    <cellStyle name="Sortie 4 6 2" xfId="1013"/>
    <cellStyle name="Sortie 4 7" xfId="282"/>
    <cellStyle name="Sortie 4 7 2" xfId="1014"/>
    <cellStyle name="Sortie 4 8" xfId="283"/>
    <cellStyle name="Sortie 4 8 2" xfId="1015"/>
    <cellStyle name="Sortie 4 9" xfId="1016"/>
    <cellStyle name="Sortie 4 9 2" xfId="1017"/>
    <cellStyle name="Sortie 5" xfId="131"/>
    <cellStyle name="Sortie 5 10" xfId="1018"/>
    <cellStyle name="Sortie 5 11" xfId="1019"/>
    <cellStyle name="Sortie 5 12" xfId="1020"/>
    <cellStyle name="Sortie 5 2" xfId="132"/>
    <cellStyle name="Sortie 5 2 2" xfId="1021"/>
    <cellStyle name="Sortie 5 2 3" xfId="1022"/>
    <cellStyle name="Sortie 5 2 4" xfId="1023"/>
    <cellStyle name="Sortie 5 3" xfId="133"/>
    <cellStyle name="Sortie 5 3 2" xfId="1024"/>
    <cellStyle name="Sortie 5 3 3" xfId="1025"/>
    <cellStyle name="Sortie 5 3 4" xfId="1026"/>
    <cellStyle name="Sortie 5 4" xfId="134"/>
    <cellStyle name="Sortie 5 4 2" xfId="1027"/>
    <cellStyle name="Sortie 5 4 3" xfId="1028"/>
    <cellStyle name="Sortie 5 4 4" xfId="1029"/>
    <cellStyle name="Sortie 5 5" xfId="284"/>
    <cellStyle name="Sortie 5 5 2" xfId="1030"/>
    <cellStyle name="Sortie 5 6" xfId="285"/>
    <cellStyle name="Sortie 5 6 2" xfId="1031"/>
    <cellStyle name="Sortie 5 7" xfId="286"/>
    <cellStyle name="Sortie 5 7 2" xfId="1032"/>
    <cellStyle name="Sortie 5 8" xfId="287"/>
    <cellStyle name="Sortie 5 8 2" xfId="1033"/>
    <cellStyle name="Sortie 5 9" xfId="1034"/>
    <cellStyle name="Sortie 5 9 2" xfId="1035"/>
    <cellStyle name="Sortie 6" xfId="135"/>
    <cellStyle name="Sortie 6 10" xfId="1036"/>
    <cellStyle name="Sortie 6 11" xfId="1037"/>
    <cellStyle name="Sortie 6 12" xfId="1038"/>
    <cellStyle name="Sortie 6 2" xfId="136"/>
    <cellStyle name="Sortie 6 2 2" xfId="1039"/>
    <cellStyle name="Sortie 6 2 3" xfId="1040"/>
    <cellStyle name="Sortie 6 2 4" xfId="1041"/>
    <cellStyle name="Sortie 6 3" xfId="137"/>
    <cellStyle name="Sortie 6 3 2" xfId="1042"/>
    <cellStyle name="Sortie 6 3 3" xfId="1043"/>
    <cellStyle name="Sortie 6 3 4" xfId="1044"/>
    <cellStyle name="Sortie 6 4" xfId="138"/>
    <cellStyle name="Sortie 6 4 2" xfId="1045"/>
    <cellStyle name="Sortie 6 4 3" xfId="1046"/>
    <cellStyle name="Sortie 6 4 4" xfId="1047"/>
    <cellStyle name="Sortie 6 5" xfId="288"/>
    <cellStyle name="Sortie 6 5 2" xfId="1048"/>
    <cellStyle name="Sortie 6 6" xfId="289"/>
    <cellStyle name="Sortie 6 6 2" xfId="1049"/>
    <cellStyle name="Sortie 6 7" xfId="290"/>
    <cellStyle name="Sortie 6 7 2" xfId="1050"/>
    <cellStyle name="Sortie 6 8" xfId="291"/>
    <cellStyle name="Sortie 6 8 2" xfId="1051"/>
    <cellStyle name="Sortie 6 9" xfId="1052"/>
    <cellStyle name="Sortie 6 9 2" xfId="1053"/>
    <cellStyle name="Sortie 7" xfId="139"/>
    <cellStyle name="Sortie 7 10" xfId="1054"/>
    <cellStyle name="Sortie 7 11" xfId="1055"/>
    <cellStyle name="Sortie 7 12" xfId="1056"/>
    <cellStyle name="Sortie 7 2" xfId="140"/>
    <cellStyle name="Sortie 7 2 2" xfId="1057"/>
    <cellStyle name="Sortie 7 2 3" xfId="1058"/>
    <cellStyle name="Sortie 7 2 4" xfId="1059"/>
    <cellStyle name="Sortie 7 3" xfId="141"/>
    <cellStyle name="Sortie 7 3 2" xfId="1060"/>
    <cellStyle name="Sortie 7 3 3" xfId="1061"/>
    <cellStyle name="Sortie 7 3 4" xfId="1062"/>
    <cellStyle name="Sortie 7 4" xfId="142"/>
    <cellStyle name="Sortie 7 4 2" xfId="1063"/>
    <cellStyle name="Sortie 7 4 3" xfId="1064"/>
    <cellStyle name="Sortie 7 4 4" xfId="1065"/>
    <cellStyle name="Sortie 7 5" xfId="292"/>
    <cellStyle name="Sortie 7 5 2" xfId="1066"/>
    <cellStyle name="Sortie 7 6" xfId="293"/>
    <cellStyle name="Sortie 7 6 2" xfId="1067"/>
    <cellStyle name="Sortie 7 7" xfId="294"/>
    <cellStyle name="Sortie 7 7 2" xfId="1068"/>
    <cellStyle name="Sortie 7 8" xfId="295"/>
    <cellStyle name="Sortie 7 8 2" xfId="1069"/>
    <cellStyle name="Sortie 7 9" xfId="1070"/>
    <cellStyle name="Sortie 7 9 2" xfId="1071"/>
    <cellStyle name="Sortie 8" xfId="296"/>
    <cellStyle name="Sortie 8 10" xfId="1072"/>
    <cellStyle name="Sortie 8 11" xfId="1073"/>
    <cellStyle name="Sortie 8 12" xfId="1074"/>
    <cellStyle name="Sortie 8 2" xfId="297"/>
    <cellStyle name="Sortie 8 2 2" xfId="1075"/>
    <cellStyle name="Sortie 8 2 3" xfId="1076"/>
    <cellStyle name="Sortie 8 2 4" xfId="1077"/>
    <cellStyle name="Sortie 8 3" xfId="298"/>
    <cellStyle name="Sortie 8 3 2" xfId="1078"/>
    <cellStyle name="Sortie 8 3 3" xfId="1079"/>
    <cellStyle name="Sortie 8 3 4" xfId="1080"/>
    <cellStyle name="Sortie 8 4" xfId="299"/>
    <cellStyle name="Sortie 8 4 2" xfId="1081"/>
    <cellStyle name="Sortie 8 4 3" xfId="1082"/>
    <cellStyle name="Sortie 8 4 4" xfId="1083"/>
    <cellStyle name="Sortie 8 5" xfId="300"/>
    <cellStyle name="Sortie 8 5 2" xfId="1084"/>
    <cellStyle name="Sortie 8 6" xfId="301"/>
    <cellStyle name="Sortie 8 6 2" xfId="1085"/>
    <cellStyle name="Sortie 8 7" xfId="302"/>
    <cellStyle name="Sortie 8 7 2" xfId="1086"/>
    <cellStyle name="Sortie 8 8" xfId="303"/>
    <cellStyle name="Sortie 8 8 2" xfId="1087"/>
    <cellStyle name="Sortie 8 9" xfId="1088"/>
    <cellStyle name="Sortie 8 9 2" xfId="1089"/>
    <cellStyle name="Sortie 9" xfId="1090"/>
    <cellStyle name="Sortie 9 2" xfId="1091"/>
    <cellStyle name="Sortie 9 2 2" xfId="1092"/>
    <cellStyle name="Sortie 9 2 3" xfId="1093"/>
    <cellStyle name="Sortie 9 3" xfId="1094"/>
    <cellStyle name="Sortie 9 3 2" xfId="1095"/>
    <cellStyle name="Sortie 9 4" xfId="1096"/>
    <cellStyle name="Sortie 9 4 2" xfId="1097"/>
    <cellStyle name="Sortie 9 5" xfId="1098"/>
    <cellStyle name="Sortie 9 6" xfId="1099"/>
    <cellStyle name="Texte explicatif 2" xfId="143"/>
    <cellStyle name="Titre 1" xfId="144"/>
    <cellStyle name="Titre 1 2" xfId="145"/>
    <cellStyle name="Titre 2 2" xfId="146"/>
    <cellStyle name="Titre 3 2" xfId="147"/>
    <cellStyle name="Titre 4 2" xfId="148"/>
    <cellStyle name="Total 10" xfId="1100"/>
    <cellStyle name="Total 10 2" xfId="1101"/>
    <cellStyle name="Total 10 2 2" xfId="1102"/>
    <cellStyle name="Total 10 2 3" xfId="1103"/>
    <cellStyle name="Total 10 3" xfId="1104"/>
    <cellStyle name="Total 10 3 2" xfId="1105"/>
    <cellStyle name="Total 10 4" xfId="1106"/>
    <cellStyle name="Total 10 5" xfId="1107"/>
    <cellStyle name="Total 11" xfId="1108"/>
    <cellStyle name="Total 11 2" xfId="1109"/>
    <cellStyle name="Total 11 2 2" xfId="1110"/>
    <cellStyle name="Total 11 3" xfId="1111"/>
    <cellStyle name="Total 11 3 2" xfId="1112"/>
    <cellStyle name="Total 11 4" xfId="1113"/>
    <cellStyle name="Total 12" xfId="1114"/>
    <cellStyle name="Total 12 2" xfId="1115"/>
    <cellStyle name="Total 2" xfId="149"/>
    <cellStyle name="Total 2 10" xfId="1116"/>
    <cellStyle name="Total 2 11" xfId="1117"/>
    <cellStyle name="Total 2 12" xfId="1118"/>
    <cellStyle name="Total 2 2" xfId="150"/>
    <cellStyle name="Total 2 2 2" xfId="1119"/>
    <cellStyle name="Total 2 2 2 2" xfId="1120"/>
    <cellStyle name="Total 2 2 2 3" xfId="1121"/>
    <cellStyle name="Total 2 2 2 4" xfId="1122"/>
    <cellStyle name="Total 2 2 3" xfId="1123"/>
    <cellStyle name="Total 2 2 3 2" xfId="1124"/>
    <cellStyle name="Total 2 2 3 3" xfId="1125"/>
    <cellStyle name="Total 2 2 4" xfId="1126"/>
    <cellStyle name="Total 2 2 4 2" xfId="1127"/>
    <cellStyle name="Total 2 2 5" xfId="1128"/>
    <cellStyle name="Total 2 2 6" xfId="1129"/>
    <cellStyle name="Total 2 3" xfId="151"/>
    <cellStyle name="Total 2 3 2" xfId="1130"/>
    <cellStyle name="Total 2 3 3" xfId="1131"/>
    <cellStyle name="Total 2 3 4" xfId="1132"/>
    <cellStyle name="Total 2 4" xfId="152"/>
    <cellStyle name="Total 2 4 2" xfId="1133"/>
    <cellStyle name="Total 2 4 3" xfId="1134"/>
    <cellStyle name="Total 2 4 4" xfId="1135"/>
    <cellStyle name="Total 2 5" xfId="304"/>
    <cellStyle name="Total 2 5 2" xfId="1136"/>
    <cellStyle name="Total 2 5 3" xfId="1137"/>
    <cellStyle name="Total 2 5 4" xfId="1138"/>
    <cellStyle name="Total 2 6" xfId="305"/>
    <cellStyle name="Total 2 6 2" xfId="1139"/>
    <cellStyle name="Total 2 7" xfId="306"/>
    <cellStyle name="Total 2 7 2" xfId="1140"/>
    <cellStyle name="Total 2 8" xfId="307"/>
    <cellStyle name="Total 2 8 2" xfId="1141"/>
    <cellStyle name="Total 2 9" xfId="1142"/>
    <cellStyle name="Total 2 9 2" xfId="1143"/>
    <cellStyle name="Total 3" xfId="153"/>
    <cellStyle name="Total 3 10" xfId="1144"/>
    <cellStyle name="Total 3 11" xfId="1145"/>
    <cellStyle name="Total 3 12" xfId="1146"/>
    <cellStyle name="Total 3 2" xfId="154"/>
    <cellStyle name="Total 3 2 2" xfId="1147"/>
    <cellStyle name="Total 3 2 2 2" xfId="1148"/>
    <cellStyle name="Total 3 2 2 3" xfId="1149"/>
    <cellStyle name="Total 3 2 2 4" xfId="1150"/>
    <cellStyle name="Total 3 2 3" xfId="1151"/>
    <cellStyle name="Total 3 2 3 2" xfId="1152"/>
    <cellStyle name="Total 3 2 3 3" xfId="1153"/>
    <cellStyle name="Total 3 2 4" xfId="1154"/>
    <cellStyle name="Total 3 2 4 2" xfId="1155"/>
    <cellStyle name="Total 3 2 5" xfId="1156"/>
    <cellStyle name="Total 3 2 6" xfId="1157"/>
    <cellStyle name="Total 3 3" xfId="155"/>
    <cellStyle name="Total 3 3 2" xfId="1158"/>
    <cellStyle name="Total 3 3 3" xfId="1159"/>
    <cellStyle name="Total 3 3 4" xfId="1160"/>
    <cellStyle name="Total 3 4" xfId="156"/>
    <cellStyle name="Total 3 4 2" xfId="1161"/>
    <cellStyle name="Total 3 4 3" xfId="1162"/>
    <cellStyle name="Total 3 4 4" xfId="1163"/>
    <cellStyle name="Total 3 5" xfId="308"/>
    <cellStyle name="Total 3 5 2" xfId="1164"/>
    <cellStyle name="Total 3 5 3" xfId="1165"/>
    <cellStyle name="Total 3 5 4" xfId="1166"/>
    <cellStyle name="Total 3 6" xfId="309"/>
    <cellStyle name="Total 3 6 2" xfId="1167"/>
    <cellStyle name="Total 3 7" xfId="310"/>
    <cellStyle name="Total 3 7 2" xfId="1168"/>
    <cellStyle name="Total 3 8" xfId="311"/>
    <cellStyle name="Total 3 8 2" xfId="1169"/>
    <cellStyle name="Total 3 9" xfId="1170"/>
    <cellStyle name="Total 3 9 2" xfId="1171"/>
    <cellStyle name="Total 4" xfId="157"/>
    <cellStyle name="Total 4 10" xfId="1172"/>
    <cellStyle name="Total 4 11" xfId="1173"/>
    <cellStyle name="Total 4 12" xfId="1174"/>
    <cellStyle name="Total 4 2" xfId="158"/>
    <cellStyle name="Total 4 2 2" xfId="1175"/>
    <cellStyle name="Total 4 2 2 2" xfId="1176"/>
    <cellStyle name="Total 4 2 2 3" xfId="1177"/>
    <cellStyle name="Total 4 2 2 4" xfId="1178"/>
    <cellStyle name="Total 4 2 3" xfId="1179"/>
    <cellStyle name="Total 4 2 3 2" xfId="1180"/>
    <cellStyle name="Total 4 2 3 3" xfId="1181"/>
    <cellStyle name="Total 4 2 4" xfId="1182"/>
    <cellStyle name="Total 4 2 4 2" xfId="1183"/>
    <cellStyle name="Total 4 2 5" xfId="1184"/>
    <cellStyle name="Total 4 2 6" xfId="1185"/>
    <cellStyle name="Total 4 3" xfId="159"/>
    <cellStyle name="Total 4 3 2" xfId="1186"/>
    <cellStyle name="Total 4 3 3" xfId="1187"/>
    <cellStyle name="Total 4 3 4" xfId="1188"/>
    <cellStyle name="Total 4 4" xfId="160"/>
    <cellStyle name="Total 4 4 2" xfId="1189"/>
    <cellStyle name="Total 4 4 3" xfId="1190"/>
    <cellStyle name="Total 4 4 4" xfId="1191"/>
    <cellStyle name="Total 4 5" xfId="312"/>
    <cellStyle name="Total 4 5 2" xfId="1192"/>
    <cellStyle name="Total 4 5 3" xfId="1193"/>
    <cellStyle name="Total 4 5 4" xfId="1194"/>
    <cellStyle name="Total 4 6" xfId="313"/>
    <cellStyle name="Total 4 6 2" xfId="1195"/>
    <cellStyle name="Total 4 7" xfId="314"/>
    <cellStyle name="Total 4 7 2" xfId="1196"/>
    <cellStyle name="Total 4 8" xfId="315"/>
    <cellStyle name="Total 4 8 2" xfId="1197"/>
    <cellStyle name="Total 4 9" xfId="1198"/>
    <cellStyle name="Total 4 9 2" xfId="1199"/>
    <cellStyle name="Total 5" xfId="161"/>
    <cellStyle name="Total 5 10" xfId="1200"/>
    <cellStyle name="Total 5 11" xfId="1201"/>
    <cellStyle name="Total 5 12" xfId="1202"/>
    <cellStyle name="Total 5 2" xfId="162"/>
    <cellStyle name="Total 5 2 2" xfId="1203"/>
    <cellStyle name="Total 5 2 3" xfId="1204"/>
    <cellStyle name="Total 5 2 4" xfId="1205"/>
    <cellStyle name="Total 5 3" xfId="163"/>
    <cellStyle name="Total 5 3 2" xfId="1206"/>
    <cellStyle name="Total 5 3 3" xfId="1207"/>
    <cellStyle name="Total 5 3 4" xfId="1208"/>
    <cellStyle name="Total 5 4" xfId="164"/>
    <cellStyle name="Total 5 4 2" xfId="1209"/>
    <cellStyle name="Total 5 4 3" xfId="1210"/>
    <cellStyle name="Total 5 4 4" xfId="1211"/>
    <cellStyle name="Total 5 5" xfId="316"/>
    <cellStyle name="Total 5 5 2" xfId="1212"/>
    <cellStyle name="Total 5 6" xfId="317"/>
    <cellStyle name="Total 5 6 2" xfId="1213"/>
    <cellStyle name="Total 5 7" xfId="318"/>
    <cellStyle name="Total 5 7 2" xfId="1214"/>
    <cellStyle name="Total 5 8" xfId="319"/>
    <cellStyle name="Total 5 8 2" xfId="1215"/>
    <cellStyle name="Total 5 9" xfId="1216"/>
    <cellStyle name="Total 5 9 2" xfId="1217"/>
    <cellStyle name="Total 6" xfId="165"/>
    <cellStyle name="Total 6 10" xfId="1218"/>
    <cellStyle name="Total 6 11" xfId="1219"/>
    <cellStyle name="Total 6 12" xfId="1220"/>
    <cellStyle name="Total 6 2" xfId="166"/>
    <cellStyle name="Total 6 2 2" xfId="1221"/>
    <cellStyle name="Total 6 2 3" xfId="1222"/>
    <cellStyle name="Total 6 2 4" xfId="1223"/>
    <cellStyle name="Total 6 3" xfId="167"/>
    <cellStyle name="Total 6 3 2" xfId="1224"/>
    <cellStyle name="Total 6 3 3" xfId="1225"/>
    <cellStyle name="Total 6 3 4" xfId="1226"/>
    <cellStyle name="Total 6 4" xfId="168"/>
    <cellStyle name="Total 6 4 2" xfId="1227"/>
    <cellStyle name="Total 6 4 3" xfId="1228"/>
    <cellStyle name="Total 6 4 4" xfId="1229"/>
    <cellStyle name="Total 6 5" xfId="320"/>
    <cellStyle name="Total 6 5 2" xfId="1230"/>
    <cellStyle name="Total 6 6" xfId="321"/>
    <cellStyle name="Total 6 6 2" xfId="1231"/>
    <cellStyle name="Total 6 7" xfId="322"/>
    <cellStyle name="Total 6 7 2" xfId="1232"/>
    <cellStyle name="Total 6 8" xfId="323"/>
    <cellStyle name="Total 6 8 2" xfId="1233"/>
    <cellStyle name="Total 6 9" xfId="1234"/>
    <cellStyle name="Total 6 9 2" xfId="1235"/>
    <cellStyle name="Total 7" xfId="169"/>
    <cellStyle name="Total 7 10" xfId="1236"/>
    <cellStyle name="Total 7 11" xfId="1237"/>
    <cellStyle name="Total 7 12" xfId="1238"/>
    <cellStyle name="Total 7 2" xfId="170"/>
    <cellStyle name="Total 7 2 2" xfId="1239"/>
    <cellStyle name="Total 7 2 3" xfId="1240"/>
    <cellStyle name="Total 7 2 4" xfId="1241"/>
    <cellStyle name="Total 7 3" xfId="171"/>
    <cellStyle name="Total 7 3 2" xfId="1242"/>
    <cellStyle name="Total 7 3 3" xfId="1243"/>
    <cellStyle name="Total 7 3 4" xfId="1244"/>
    <cellStyle name="Total 7 4" xfId="172"/>
    <cellStyle name="Total 7 4 2" xfId="1245"/>
    <cellStyle name="Total 7 4 3" xfId="1246"/>
    <cellStyle name="Total 7 4 4" xfId="1247"/>
    <cellStyle name="Total 7 5" xfId="324"/>
    <cellStyle name="Total 7 5 2" xfId="1248"/>
    <cellStyle name="Total 7 6" xfId="325"/>
    <cellStyle name="Total 7 6 2" xfId="1249"/>
    <cellStyle name="Total 7 7" xfId="326"/>
    <cellStyle name="Total 7 7 2" xfId="1250"/>
    <cellStyle name="Total 7 8" xfId="327"/>
    <cellStyle name="Total 7 8 2" xfId="1251"/>
    <cellStyle name="Total 7 9" xfId="1252"/>
    <cellStyle name="Total 7 9 2" xfId="1253"/>
    <cellStyle name="Total 8" xfId="328"/>
    <cellStyle name="Total 8 10" xfId="1254"/>
    <cellStyle name="Total 8 11" xfId="1255"/>
    <cellStyle name="Total 8 12" xfId="1256"/>
    <cellStyle name="Total 8 2" xfId="329"/>
    <cellStyle name="Total 8 2 2" xfId="1257"/>
    <cellStyle name="Total 8 2 3" xfId="1258"/>
    <cellStyle name="Total 8 2 4" xfId="1259"/>
    <cellStyle name="Total 8 3" xfId="330"/>
    <cellStyle name="Total 8 3 2" xfId="1260"/>
    <cellStyle name="Total 8 3 3" xfId="1261"/>
    <cellStyle name="Total 8 3 4" xfId="1262"/>
    <cellStyle name="Total 8 4" xfId="331"/>
    <cellStyle name="Total 8 4 2" xfId="1263"/>
    <cellStyle name="Total 8 4 3" xfId="1264"/>
    <cellStyle name="Total 8 4 4" xfId="1265"/>
    <cellStyle name="Total 8 5" xfId="332"/>
    <cellStyle name="Total 8 5 2" xfId="1266"/>
    <cellStyle name="Total 8 6" xfId="333"/>
    <cellStyle name="Total 8 6 2" xfId="1267"/>
    <cellStyle name="Total 8 7" xfId="334"/>
    <cellStyle name="Total 8 7 2" xfId="1268"/>
    <cellStyle name="Total 8 8" xfId="335"/>
    <cellStyle name="Total 8 8 2" xfId="1269"/>
    <cellStyle name="Total 8 9" xfId="1270"/>
    <cellStyle name="Total 8 9 2" xfId="1271"/>
    <cellStyle name="Total 9" xfId="1272"/>
    <cellStyle name="Total 9 2" xfId="1273"/>
    <cellStyle name="Total 9 2 2" xfId="1274"/>
    <cellStyle name="Total 9 2 3" xfId="1275"/>
    <cellStyle name="Total 9 3" xfId="1276"/>
    <cellStyle name="Total 9 3 2" xfId="1277"/>
    <cellStyle name="Total 9 4" xfId="1278"/>
    <cellStyle name="Total 9 4 2" xfId="1279"/>
    <cellStyle name="Total 9 5" xfId="1280"/>
    <cellStyle name="Total 9 6" xfId="1281"/>
    <cellStyle name="Vérification 2" xfId="173"/>
  </cellStyles>
  <dxfs count="211"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Composition moyenne des OMR</a:t>
            </a:r>
          </a:p>
          <a:p>
            <a:pPr>
              <a:defRPr sz="1050"/>
            </a:pPr>
            <a:r>
              <a:rPr lang="fr-FR" sz="1050" i="1"/>
              <a:t>hiver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PB'!$X$96</c:f>
              <c:strCache>
                <c:ptCount val="1"/>
                <c:pt idx="0">
                  <c:v>Syctom H15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'Synthèse PB'!$P$75:$P$87</c:f>
              </c:numRef>
            </c:plus>
            <c:minus>
              <c:numRef>
                <c:f>'Synthèse PB'!$O$75:$O$87</c:f>
              </c:numRef>
            </c:minus>
            <c:spPr>
              <a:ln w="15875">
                <a:solidFill>
                  <a:srgbClr val="FF0000"/>
                </a:solidFill>
              </a:ln>
            </c:spPr>
          </c:errBars>
          <c:cat>
            <c:strRef>
              <c:f>'[10]Synthèse PB'!$B$68:$B$80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PB'!$E$75:$E$87</c:f>
            </c:numRef>
          </c:val>
          <c:extLst>
            <c:ext xmlns:c16="http://schemas.microsoft.com/office/drawing/2014/chart" uri="{C3380CC4-5D6E-409C-BE32-E72D297353CC}">
              <c16:uniqueId val="{00000000-70DB-41F4-8470-99A48445543D}"/>
            </c:ext>
          </c:extLst>
        </c:ser>
        <c:ser>
          <c:idx val="2"/>
          <c:order val="1"/>
          <c:tx>
            <c:strRef>
              <c:f>'Synthèse PB'!$D$73:$D$74</c:f>
              <c:strCache>
                <c:ptCount val="2"/>
                <c:pt idx="0">
                  <c:v>SYCTOM 2014</c:v>
                </c:pt>
              </c:strCache>
            </c:strRef>
          </c:tx>
          <c:invertIfNegative val="0"/>
          <c:val>
            <c:numRef>
              <c:f>'Synthèse PB'!$D$75:$D$87</c:f>
            </c:numRef>
          </c:val>
          <c:extLst>
            <c:ext xmlns:c16="http://schemas.microsoft.com/office/drawing/2014/chart" uri="{C3380CC4-5D6E-409C-BE32-E72D297353CC}">
              <c16:uniqueId val="{00000001-70DB-41F4-8470-99A48445543D}"/>
            </c:ext>
          </c:extLst>
        </c:ser>
        <c:ser>
          <c:idx val="1"/>
          <c:order val="2"/>
          <c:tx>
            <c:strRef>
              <c:f>'Synthèse PB'!$C$73:$C$74</c:f>
              <c:strCache>
                <c:ptCount val="2"/>
                <c:pt idx="0">
                  <c:v>MODECOM 2007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'Synthèse PB'!$C$75:$C$87</c:f>
            </c:numRef>
          </c:val>
          <c:extLst>
            <c:ext xmlns:c16="http://schemas.microsoft.com/office/drawing/2014/chart" uri="{C3380CC4-5D6E-409C-BE32-E72D297353CC}">
              <c16:uniqueId val="{00000002-70DB-41F4-8470-99A484455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1137536"/>
        <c:axId val="222876032"/>
      </c:barChart>
      <c:catAx>
        <c:axId val="2211375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22876032"/>
        <c:crosses val="autoZero"/>
        <c:auto val="1"/>
        <c:lblAlgn val="ctr"/>
        <c:lblOffset val="100"/>
        <c:noMultiLvlLbl val="0"/>
      </c:catAx>
      <c:valAx>
        <c:axId val="222876032"/>
        <c:scaling>
          <c:orientation val="minMax"/>
          <c:max val="0.43000000000000038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221137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Composition des OMR en fonction de la provenance Banlieue/Paris</a:t>
            </a:r>
          </a:p>
          <a:p>
            <a:pPr>
              <a:defRPr sz="1000"/>
            </a:pPr>
            <a:r>
              <a:rPr lang="fr-FR" sz="1000" i="1"/>
              <a:t>hiver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PB'!$D$89</c:f>
              <c:strCache>
                <c:ptCount val="1"/>
                <c:pt idx="0">
                  <c:v>Banlieue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PB'!$O$91:$O$103</c:f>
              </c:numRef>
            </c:plus>
            <c:minus>
              <c:numRef>
                <c:f>'Synthèse PB'!$N$91:$N$103</c:f>
              </c:numRef>
            </c:minus>
            <c:spPr>
              <a:ln w="15875">
                <a:solidFill>
                  <a:srgbClr val="00B050"/>
                </a:solidFill>
              </a:ln>
            </c:spPr>
          </c:errBars>
          <c:cat>
            <c:strRef>
              <c:f>'[10]Synthèse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PB'!$D$91:$D$103</c:f>
            </c:numRef>
          </c:val>
          <c:extLst>
            <c:ext xmlns:c16="http://schemas.microsoft.com/office/drawing/2014/chart" uri="{C3380CC4-5D6E-409C-BE32-E72D297353CC}">
              <c16:uniqueId val="{00000000-ECEE-4642-933D-58DBF62396A0}"/>
            </c:ext>
          </c:extLst>
        </c:ser>
        <c:ser>
          <c:idx val="1"/>
          <c:order val="1"/>
          <c:tx>
            <c:strRef>
              <c:f>'Synthèse PB'!$I$89</c:f>
              <c:strCache>
                <c:ptCount val="1"/>
                <c:pt idx="0">
                  <c:v>Paris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PB'!$Q$91:$Q$103</c:f>
              </c:numRef>
            </c:plus>
            <c:minus>
              <c:numRef>
                <c:f>'Synthèse PB'!$P$91:$P$103</c:f>
              </c:numRef>
            </c:minus>
            <c:spPr>
              <a:ln w="15875">
                <a:solidFill>
                  <a:srgbClr val="C00000"/>
                </a:solidFill>
              </a:ln>
            </c:spPr>
          </c:errBars>
          <c:cat>
            <c:strRef>
              <c:f>'[10]Synthèse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PB'!$I$91:$I$103</c:f>
            </c:numRef>
          </c:val>
          <c:extLst>
            <c:ext xmlns:c16="http://schemas.microsoft.com/office/drawing/2014/chart" uri="{C3380CC4-5D6E-409C-BE32-E72D297353CC}">
              <c16:uniqueId val="{00000001-ECEE-4642-933D-58DBF6239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0141440"/>
        <c:axId val="220142976"/>
      </c:barChart>
      <c:catAx>
        <c:axId val="2201414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220142976"/>
        <c:crosses val="autoZero"/>
        <c:auto val="1"/>
        <c:lblAlgn val="ctr"/>
        <c:lblOffset val="100"/>
        <c:noMultiLvlLbl val="0"/>
      </c:catAx>
      <c:valAx>
        <c:axId val="220142976"/>
        <c:scaling>
          <c:orientation val="minMax"/>
          <c:max val="0.43000000000000038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220141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Gisement potentiellement détournable vers le tri</a:t>
            </a:r>
            <a:r>
              <a:rPr lang="fr-FR" sz="1100" baseline="0"/>
              <a:t> dans les OMR du SYCTOM</a:t>
            </a:r>
          </a:p>
          <a:p>
            <a:pPr>
              <a:defRPr sz="1100"/>
            </a:pPr>
            <a:r>
              <a:rPr lang="fr-FR" sz="1100" i="1" baseline="0"/>
              <a:t>hiver 2015</a:t>
            </a:r>
            <a:endParaRPr lang="fr-FR" sz="1100" i="1"/>
          </a:p>
        </c:rich>
      </c:tx>
      <c:layout>
        <c:manualLayout>
          <c:xMode val="edge"/>
          <c:yMode val="edge"/>
          <c:x val="0.12265822784810126"/>
          <c:y val="1.84757505773672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622279809960482E-2"/>
          <c:y val="0.16270579813886901"/>
          <c:w val="0.82858666400877101"/>
          <c:h val="0.7653130414034216"/>
        </c:manualLayout>
      </c:layout>
      <c:ofPieChart>
        <c:ofPieType val="pie"/>
        <c:varyColors val="1"/>
        <c:ser>
          <c:idx val="0"/>
          <c:order val="0"/>
          <c:explosion val="8"/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0-1015-42BB-9005-AC344B370BF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5-42BB-9005-AC344B370B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5-42BB-9005-AC344B370BFB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5-42BB-9005-AC344B370B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'[11]Synthèse A11 PB'!$B$164:$B$169</c:f>
              <c:strCache>
                <c:ptCount val="6"/>
                <c:pt idx="0">
                  <c:v>OMR</c:v>
                </c:pt>
                <c:pt idx="2">
                  <c:v>Collecte sélective</c:v>
                </c:pt>
                <c:pt idx="3">
                  <c:v>Verre</c:v>
                </c:pt>
                <c:pt idx="4">
                  <c:v>Textiles</c:v>
                </c:pt>
                <c:pt idx="5">
                  <c:v>Déchets ménagers spéciaux</c:v>
                </c:pt>
              </c:strCache>
            </c:strRef>
          </c:cat>
          <c:val>
            <c:numRef>
              <c:f>'Synthèse PB'!$C$158:$C$163</c:f>
            </c:numRef>
          </c:val>
          <c:extLst>
            <c:ext xmlns:c16="http://schemas.microsoft.com/office/drawing/2014/chart" uri="{C3380CC4-5D6E-409C-BE32-E72D297353CC}">
              <c16:uniqueId val="{00000004-1015-42BB-9005-AC344B370BF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</c:custSplit>
        <c:secondPieSize val="140"/>
        <c:serLines/>
      </c:ofPie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1243110510928"/>
          <c:y val="2.9966302202258193E-2"/>
          <c:w val="0.88382841331014095"/>
          <c:h val="0.74727225508314821"/>
        </c:manualLayout>
      </c:layout>
      <c:lineChart>
        <c:grouping val="standard"/>
        <c:varyColors val="0"/>
        <c:ser>
          <c:idx val="0"/>
          <c:order val="0"/>
          <c:tx>
            <c:strRef>
              <c:f>'PCI PB et PC'!$A$6</c:f>
              <c:strCache>
                <c:ptCount val="1"/>
                <c:pt idx="0">
                  <c:v>PCS/sec expérimental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H15 PB PAR</c:v>
                </c:pt>
                <c:pt idx="1">
                  <c:v>ISS H15 PAR BAN</c:v>
                </c:pt>
                <c:pt idx="2">
                  <c:v>STO H15 PB PAR</c:v>
                </c:pt>
                <c:pt idx="3">
                  <c:v>STO H15 PB BAN</c:v>
                </c:pt>
                <c:pt idx="4">
                  <c:v>ROM H15 PB PAR</c:v>
                </c:pt>
                <c:pt idx="5">
                  <c:v>ROM H15 PB BAN</c:v>
                </c:pt>
                <c:pt idx="6">
                  <c:v>IV13 H15 PB PAR</c:v>
                </c:pt>
                <c:pt idx="7">
                  <c:v>IV13 H15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PC'!$C$6:$M$6</c:f>
              <c:numCache>
                <c:formatCode>#\ ##0_ ;\-#\ ##0\ </c:formatCode>
                <c:ptCount val="11"/>
                <c:pt idx="0">
                  <c:v>3818.8468354430374</c:v>
                </c:pt>
                <c:pt idx="1">
                  <c:v>4290.8862559241707</c:v>
                </c:pt>
                <c:pt idx="2">
                  <c:v>4231.9469026548668</c:v>
                </c:pt>
                <c:pt idx="3">
                  <c:v>4246.3510638297885</c:v>
                </c:pt>
                <c:pt idx="4">
                  <c:v>3842.9463548830804</c:v>
                </c:pt>
                <c:pt idx="5">
                  <c:v>4112.5162094763091</c:v>
                </c:pt>
                <c:pt idx="6">
                  <c:v>3906.8705035971234</c:v>
                </c:pt>
                <c:pt idx="7">
                  <c:v>3773.9110840438484</c:v>
                </c:pt>
                <c:pt idx="8">
                  <c:v>4028.0344012315277</c:v>
                </c:pt>
                <c:pt idx="9">
                  <c:v>3950.152649144527</c:v>
                </c:pt>
                <c:pt idx="10">
                  <c:v>4105.9161533185297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8-44E8-9C95-DCC94EA54E82}"/>
            </c:ext>
          </c:extLst>
        </c:ser>
        <c:ser>
          <c:idx val="1"/>
          <c:order val="1"/>
          <c:tx>
            <c:strRef>
              <c:f>'PCI PB et PC'!$A$16</c:f>
              <c:strCache>
                <c:ptCount val="1"/>
                <c:pt idx="0">
                  <c:v>Référence MODECOM PCS/sec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H15 PB PAR</c:v>
                </c:pt>
                <c:pt idx="1">
                  <c:v>ISS H15 PAR BAN</c:v>
                </c:pt>
                <c:pt idx="2">
                  <c:v>STO H15 PB PAR</c:v>
                </c:pt>
                <c:pt idx="3">
                  <c:v>STO H15 PB BAN</c:v>
                </c:pt>
                <c:pt idx="4">
                  <c:v>ROM H15 PB PAR</c:v>
                </c:pt>
                <c:pt idx="5">
                  <c:v>ROM H15 PB BAN</c:v>
                </c:pt>
                <c:pt idx="6">
                  <c:v>IV13 H15 PB PAR</c:v>
                </c:pt>
                <c:pt idx="7">
                  <c:v>IV13 H15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PC'!$C$16:$M$16</c:f>
              <c:numCache>
                <c:formatCode>General</c:formatCode>
                <c:ptCount val="11"/>
                <c:pt idx="0">
                  <c:v>4108</c:v>
                </c:pt>
                <c:pt idx="1">
                  <c:v>4108</c:v>
                </c:pt>
                <c:pt idx="2">
                  <c:v>4108</c:v>
                </c:pt>
                <c:pt idx="3">
                  <c:v>4108</c:v>
                </c:pt>
                <c:pt idx="4">
                  <c:v>4108</c:v>
                </c:pt>
                <c:pt idx="5">
                  <c:v>4108</c:v>
                </c:pt>
                <c:pt idx="6">
                  <c:v>4108</c:v>
                </c:pt>
                <c:pt idx="7">
                  <c:v>4108</c:v>
                </c:pt>
                <c:pt idx="8">
                  <c:v>4108</c:v>
                </c:pt>
                <c:pt idx="9">
                  <c:v>4108</c:v>
                </c:pt>
                <c:pt idx="10">
                  <c:v>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8-44E8-9C95-DCC94EA54E82}"/>
            </c:ext>
          </c:extLst>
        </c:ser>
        <c:ser>
          <c:idx val="2"/>
          <c:order val="2"/>
          <c:tx>
            <c:strRef>
              <c:f>'PCI PB et PC'!$A$10</c:f>
              <c:strCache>
                <c:ptCount val="1"/>
                <c:pt idx="0">
                  <c:v>PCI/brut expérimental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PC'!$C$10:$M$10</c:f>
              <c:numCache>
                <c:formatCode>#\ ##0_ ;\-#\ ##0\ </c:formatCode>
                <c:ptCount val="11"/>
                <c:pt idx="0">
                  <c:v>1984.1883144303795</c:v>
                </c:pt>
                <c:pt idx="1">
                  <c:v>2381.6362691706158</c:v>
                </c:pt>
                <c:pt idx="2">
                  <c:v>2005.7754042477875</c:v>
                </c:pt>
                <c:pt idx="3">
                  <c:v>2148.593099680852</c:v>
                </c:pt>
                <c:pt idx="4">
                  <c:v>1807.2597064099027</c:v>
                </c:pt>
                <c:pt idx="5">
                  <c:v>2232.4599062344141</c:v>
                </c:pt>
                <c:pt idx="6">
                  <c:v>2191.2198563309353</c:v>
                </c:pt>
                <c:pt idx="7">
                  <c:v>2108.2020379780761</c:v>
                </c:pt>
                <c:pt idx="8">
                  <c:v>2107.4168243103704</c:v>
                </c:pt>
                <c:pt idx="9">
                  <c:v>1997.1108203547515</c:v>
                </c:pt>
                <c:pt idx="10">
                  <c:v>2217.7228282659894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8-44E8-9C95-DCC94EA54E82}"/>
            </c:ext>
          </c:extLst>
        </c:ser>
        <c:ser>
          <c:idx val="4"/>
          <c:order val="3"/>
          <c:tx>
            <c:strRef>
              <c:f>'PCI PB et PC'!$A$12</c:f>
              <c:strCache>
                <c:ptCount val="1"/>
                <c:pt idx="0">
                  <c:v>PCI/brut calculatoire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PC'!$C$12:$M$12</c:f>
              <c:numCache>
                <c:formatCode>#\ ##0_ ;\-#\ ##0\ </c:formatCode>
                <c:ptCount val="11"/>
                <c:pt idx="0">
                  <c:v>2195.6906405063282</c:v>
                </c:pt>
                <c:pt idx="1">
                  <c:v>2654.8040545023687</c:v>
                </c:pt>
                <c:pt idx="2">
                  <c:v>2198.4008318584079</c:v>
                </c:pt>
                <c:pt idx="3">
                  <c:v>2316.5119308510648</c:v>
                </c:pt>
                <c:pt idx="4">
                  <c:v>2012.4316038514439</c:v>
                </c:pt>
                <c:pt idx="5">
                  <c:v>2413.7411471321693</c:v>
                </c:pt>
                <c:pt idx="6">
                  <c:v>2430.6464316546767</c:v>
                </c:pt>
                <c:pt idx="7">
                  <c:v>2303.5296479902559</c:v>
                </c:pt>
                <c:pt idx="8">
                  <c:v>2315.7195360433398</c:v>
                </c:pt>
                <c:pt idx="9">
                  <c:v>2209.2923769677145</c:v>
                </c:pt>
                <c:pt idx="10">
                  <c:v>2422.1466951189645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8-44E8-9C95-DCC94EA54E82}"/>
            </c:ext>
          </c:extLst>
        </c:ser>
        <c:ser>
          <c:idx val="3"/>
          <c:order val="4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28-44E8-9C95-DCC94EA54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458496"/>
        <c:axId val="230460032"/>
      </c:lineChart>
      <c:catAx>
        <c:axId val="2304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230460032"/>
        <c:crosses val="autoZero"/>
        <c:auto val="1"/>
        <c:lblAlgn val="ctr"/>
        <c:lblOffset val="100"/>
        <c:noMultiLvlLbl val="0"/>
      </c:catAx>
      <c:valAx>
        <c:axId val="230460032"/>
        <c:scaling>
          <c:orientation val="minMax"/>
          <c:max val="4850"/>
          <c:min val="1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#\ ##0_ ;\-#\ ##0\ 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3045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15748678956661"/>
          <c:y val="0.31285013321001304"/>
          <c:w val="0.24510276556895319"/>
          <c:h val="0.2440338151109630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84733784972"/>
          <c:y val="3.8063464752477599E-2"/>
          <c:w val="0.87338766467465323"/>
          <c:h val="0.57668920960906944"/>
        </c:manualLayout>
      </c:layout>
      <c:lineChart>
        <c:grouping val="standard"/>
        <c:varyColors val="0"/>
        <c:ser>
          <c:idx val="3"/>
          <c:order val="0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ISS_H15 PAR</c:v>
                </c:pt>
                <c:pt idx="1">
                  <c:v>ISS_H15 BAN</c:v>
                </c:pt>
                <c:pt idx="2">
                  <c:v>STO_H15 PAR</c:v>
                </c:pt>
                <c:pt idx="3">
                  <c:v>STO_H15 BAN</c:v>
                </c:pt>
                <c:pt idx="4">
                  <c:v>ROM_H15 PAR</c:v>
                </c:pt>
                <c:pt idx="5">
                  <c:v>ROM_H15 BAN</c:v>
                </c:pt>
                <c:pt idx="6">
                  <c:v>IV13_H15 PAR</c:v>
                </c:pt>
                <c:pt idx="7">
                  <c:v>IV13_H15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6-47C8-AF74-E459D61F1903}"/>
            </c:ext>
          </c:extLst>
        </c:ser>
        <c:ser>
          <c:idx val="0"/>
          <c:order val="1"/>
          <c:tx>
            <c:v>Valeur cal/brut sur déchets après tri sommaire des fines et combustibles - Presta. C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ISS_H15 PAR</c:v>
                </c:pt>
                <c:pt idx="1">
                  <c:v>ISS_H15 BAN</c:v>
                </c:pt>
                <c:pt idx="2">
                  <c:v>STO_H15 PAR</c:v>
                </c:pt>
                <c:pt idx="3">
                  <c:v>STO_H15 BAN</c:v>
                </c:pt>
                <c:pt idx="4">
                  <c:v>ROM_H15 PAR</c:v>
                </c:pt>
                <c:pt idx="5">
                  <c:v>ROM_H15 BAN</c:v>
                </c:pt>
                <c:pt idx="6">
                  <c:v>IV13_H15 PAR</c:v>
                </c:pt>
                <c:pt idx="7">
                  <c:v>IV13_H15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PC'!$T$10:$AD$10</c:f>
              <c:numCache>
                <c:formatCode>#,##0</c:formatCode>
                <c:ptCount val="11"/>
                <c:pt idx="0">
                  <c:v>2354.1973114560005</c:v>
                </c:pt>
                <c:pt idx="1">
                  <c:v>1955.5140518943999</c:v>
                </c:pt>
                <c:pt idx="2">
                  <c:v>2072.954042112</c:v>
                </c:pt>
                <c:pt idx="3">
                  <c:v>2130.4889520528004</c:v>
                </c:pt>
                <c:pt idx="4">
                  <c:v>1881.8890971519997</c:v>
                </c:pt>
                <c:pt idx="5">
                  <c:v>2571.6857918911996</c:v>
                </c:pt>
                <c:pt idx="6">
                  <c:v>2247.8055773808005</c:v>
                </c:pt>
                <c:pt idx="7">
                  <c:v>1647.3876755584001</c:v>
                </c:pt>
                <c:pt idx="8">
                  <c:v>2107.7403124371999</c:v>
                </c:pt>
                <c:pt idx="9">
                  <c:v>2139.2115070252003</c:v>
                </c:pt>
                <c:pt idx="10">
                  <c:v>2076.2691178492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6-47C8-AF74-E459D61F1903}"/>
            </c:ext>
          </c:extLst>
        </c:ser>
        <c:ser>
          <c:idx val="1"/>
          <c:order val="2"/>
          <c:tx>
            <c:v>Valeur exp/brut sur déchets après tri par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ISS_H15 PAR</c:v>
                </c:pt>
                <c:pt idx="1">
                  <c:v>ISS_H15 BAN</c:v>
                </c:pt>
                <c:pt idx="2">
                  <c:v>STO_H15 PAR</c:v>
                </c:pt>
                <c:pt idx="3">
                  <c:v>STO_H15 BAN</c:v>
                </c:pt>
                <c:pt idx="4">
                  <c:v>ROM_H15 PAR</c:v>
                </c:pt>
                <c:pt idx="5">
                  <c:v>ROM_H15 BAN</c:v>
                </c:pt>
                <c:pt idx="6">
                  <c:v>IV13_H15 PAR</c:v>
                </c:pt>
                <c:pt idx="7">
                  <c:v>IV13_H15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PC'!$T$13:$AD$13</c:f>
              <c:numCache>
                <c:formatCode>#,##0</c:formatCode>
                <c:ptCount val="11"/>
                <c:pt idx="0">
                  <c:v>1984.1883144303795</c:v>
                </c:pt>
                <c:pt idx="1">
                  <c:v>2381.6362691706158</c:v>
                </c:pt>
                <c:pt idx="2">
                  <c:v>2005.7754042477875</c:v>
                </c:pt>
                <c:pt idx="3">
                  <c:v>2148.593099680852</c:v>
                </c:pt>
                <c:pt idx="4">
                  <c:v>1807.2597064099027</c:v>
                </c:pt>
                <c:pt idx="5">
                  <c:v>2232.4599062344141</c:v>
                </c:pt>
                <c:pt idx="6">
                  <c:v>2191.2198563309353</c:v>
                </c:pt>
                <c:pt idx="7">
                  <c:v>2108.2020379780761</c:v>
                </c:pt>
                <c:pt idx="8">
                  <c:v>2107.4168243103704</c:v>
                </c:pt>
                <c:pt idx="9">
                  <c:v>1997.1108203547515</c:v>
                </c:pt>
                <c:pt idx="10">
                  <c:v>2217.7228282659894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6-47C8-AF74-E459D61F1903}"/>
            </c:ext>
          </c:extLst>
        </c:ser>
        <c:ser>
          <c:idx val="2"/>
          <c:order val="3"/>
          <c:tx>
            <c:v>Valeur cal/brut sur déchets après tri en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ISS_H15 PAR</c:v>
                </c:pt>
                <c:pt idx="1">
                  <c:v>ISS_H15 BAN</c:v>
                </c:pt>
                <c:pt idx="2">
                  <c:v>STO_H15 PAR</c:v>
                </c:pt>
                <c:pt idx="3">
                  <c:v>STO_H15 BAN</c:v>
                </c:pt>
                <c:pt idx="4">
                  <c:v>ROM_H15 PAR</c:v>
                </c:pt>
                <c:pt idx="5">
                  <c:v>ROM_H15 BAN</c:v>
                </c:pt>
                <c:pt idx="6">
                  <c:v>IV13_H15 PAR</c:v>
                </c:pt>
                <c:pt idx="7">
                  <c:v>IV13_H15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PC'!$T$14:$AD$14</c:f>
              <c:numCache>
                <c:formatCode>#,##0</c:formatCode>
                <c:ptCount val="11"/>
                <c:pt idx="0">
                  <c:v>2195.6906405063282</c:v>
                </c:pt>
                <c:pt idx="1">
                  <c:v>2654.8040545023687</c:v>
                </c:pt>
                <c:pt idx="2">
                  <c:v>2198.4008318584079</c:v>
                </c:pt>
                <c:pt idx="3">
                  <c:v>2316.5119308510648</c:v>
                </c:pt>
                <c:pt idx="4">
                  <c:v>2012.4316038514439</c:v>
                </c:pt>
                <c:pt idx="5">
                  <c:v>2413.7411471321693</c:v>
                </c:pt>
                <c:pt idx="6">
                  <c:v>2430.6464316546767</c:v>
                </c:pt>
                <c:pt idx="7">
                  <c:v>2303.5296479902559</c:v>
                </c:pt>
                <c:pt idx="8">
                  <c:v>2315.7195360433398</c:v>
                </c:pt>
                <c:pt idx="9">
                  <c:v>2209.2923769677145</c:v>
                </c:pt>
                <c:pt idx="10">
                  <c:v>2422.1466951189645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56-47C8-AF74-E459D61F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495360"/>
        <c:axId val="230496896"/>
      </c:lineChart>
      <c:catAx>
        <c:axId val="2304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230496896"/>
        <c:crosses val="autoZero"/>
        <c:auto val="1"/>
        <c:lblAlgn val="ctr"/>
        <c:lblOffset val="100"/>
        <c:noMultiLvlLbl val="0"/>
      </c:catAx>
      <c:valAx>
        <c:axId val="230496896"/>
        <c:scaling>
          <c:orientation val="minMax"/>
          <c:max val="2700"/>
          <c:min val="16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30495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0299984682239E-3"/>
          <c:y val="0.79942245258262634"/>
          <c:w val="0.99259102057766657"/>
          <c:h val="0.17742868786274574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17</xdr:row>
      <xdr:rowOff>104773</xdr:rowOff>
    </xdr:from>
    <xdr:to>
      <xdr:col>9</xdr:col>
      <xdr:colOff>511969</xdr:colOff>
      <xdr:row>33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1012030</xdr:colOff>
      <xdr:row>19</xdr:row>
      <xdr:rowOff>214314</xdr:rowOff>
    </xdr:from>
    <xdr:to>
      <xdr:col>26</xdr:col>
      <xdr:colOff>369091</xdr:colOff>
      <xdr:row>35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228599</xdr:colOff>
      <xdr:row>71</xdr:row>
      <xdr:rowOff>19050</xdr:rowOff>
    </xdr:from>
    <xdr:to>
      <xdr:col>30</xdr:col>
      <xdr:colOff>619124</xdr:colOff>
      <xdr:row>91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295274</xdr:colOff>
      <xdr:row>103</xdr:row>
      <xdr:rowOff>85724</xdr:rowOff>
    </xdr:from>
    <xdr:to>
      <xdr:col>23</xdr:col>
      <xdr:colOff>190499</xdr:colOff>
      <xdr:row>124</xdr:row>
      <xdr:rowOff>209550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495298</xdr:colOff>
      <xdr:row>147</xdr:row>
      <xdr:rowOff>38100</xdr:rowOff>
    </xdr:from>
    <xdr:to>
      <xdr:col>18</xdr:col>
      <xdr:colOff>266699</xdr:colOff>
      <xdr:row>163</xdr:row>
      <xdr:rowOff>161925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0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8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6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H15_PB_B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hiver%202012\feuille%20de%20%20tri\synth&#232;se%20H12%20PB%20-%20P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A11\Feuilles%20de%20tri\Synth&#232;se%20r&#233;sultats%20prestation%20B%20et%20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H15_PC_B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H15_PC_P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C_B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C_P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H15_PC_B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H15_PC_P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H15_PC_B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H15_PC_P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H15_PB_P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B_B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H15_PB_P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H15_PB_B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H15_PB_P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H15_PB_B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H15_PB_P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A14_PB_B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H15 PB BAN</v>
          </cell>
        </row>
        <row r="6">
          <cell r="D6" t="str">
            <v>Meudon CP 196 MB</v>
          </cell>
        </row>
        <row r="8">
          <cell r="D8" t="str">
            <v>ISSEANE</v>
          </cell>
        </row>
        <row r="12">
          <cell r="B12">
            <v>42047</v>
          </cell>
          <cell r="E12">
            <v>0.39930555555555558</v>
          </cell>
        </row>
        <row r="15">
          <cell r="E15" t="str">
            <v>sec ensoleillé</v>
          </cell>
        </row>
        <row r="19">
          <cell r="G19">
            <v>127.6</v>
          </cell>
        </row>
        <row r="26">
          <cell r="H26">
            <v>0.55000000000000004</v>
          </cell>
        </row>
        <row r="51">
          <cell r="D51">
            <v>0.35940438871473346</v>
          </cell>
        </row>
      </sheetData>
      <sheetData sheetId="1"/>
      <sheetData sheetId="2">
        <row r="27">
          <cell r="C27">
            <v>4.08</v>
          </cell>
          <cell r="D27">
            <v>3.62</v>
          </cell>
        </row>
      </sheetData>
      <sheetData sheetId="3">
        <row r="5">
          <cell r="E5">
            <v>0</v>
          </cell>
          <cell r="H5">
            <v>0.1100000000000001</v>
          </cell>
          <cell r="K5">
            <v>4.8820224719101146</v>
          </cell>
        </row>
        <row r="6">
          <cell r="E6">
            <v>0</v>
          </cell>
          <cell r="H6">
            <v>0.73</v>
          </cell>
          <cell r="K6">
            <v>2.9292134831460679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5.0000000000000044E-2</v>
          </cell>
          <cell r="K8">
            <v>8.87640449438203E-2</v>
          </cell>
        </row>
        <row r="9">
          <cell r="E9">
            <v>0</v>
          </cell>
          <cell r="H9">
            <v>1.0000000000000009E-2</v>
          </cell>
          <cell r="K9">
            <v>8.87640449438203E-2</v>
          </cell>
        </row>
        <row r="10">
          <cell r="E10">
            <v>0</v>
          </cell>
          <cell r="H10">
            <v>0.85000000000000009</v>
          </cell>
          <cell r="K10">
            <v>1.8640449438202262</v>
          </cell>
        </row>
        <row r="11">
          <cell r="E11">
            <v>0</v>
          </cell>
          <cell r="H11">
            <v>2.7500000000000004</v>
          </cell>
          <cell r="K11">
            <v>0</v>
          </cell>
        </row>
        <row r="12">
          <cell r="E12">
            <v>0</v>
          </cell>
          <cell r="H12">
            <v>0.4700000000000002</v>
          </cell>
          <cell r="K12">
            <v>1.5089887640449451</v>
          </cell>
        </row>
        <row r="13">
          <cell r="E13">
            <v>0</v>
          </cell>
          <cell r="H13">
            <v>0.71</v>
          </cell>
          <cell r="K13">
            <v>0.62134831460674211</v>
          </cell>
        </row>
        <row r="14">
          <cell r="E14">
            <v>0</v>
          </cell>
          <cell r="H14">
            <v>1.83</v>
          </cell>
          <cell r="K14">
            <v>8.87640449438203E-2</v>
          </cell>
        </row>
        <row r="15">
          <cell r="E15">
            <v>0</v>
          </cell>
          <cell r="H15">
            <v>0.89000000000000012</v>
          </cell>
          <cell r="K15">
            <v>1.6865168539325857</v>
          </cell>
        </row>
        <row r="16">
          <cell r="E16">
            <v>0</v>
          </cell>
          <cell r="H16">
            <v>0.99000000000000021</v>
          </cell>
          <cell r="K16">
            <v>0</v>
          </cell>
        </row>
        <row r="17">
          <cell r="E17">
            <v>0</v>
          </cell>
          <cell r="H17">
            <v>9.000000000000008E-2</v>
          </cell>
          <cell r="K17">
            <v>0.79887640449438269</v>
          </cell>
        </row>
        <row r="18">
          <cell r="E18">
            <v>0</v>
          </cell>
          <cell r="H18">
            <v>0.25</v>
          </cell>
          <cell r="K18">
            <v>0.79887640449438269</v>
          </cell>
        </row>
        <row r="19">
          <cell r="E19">
            <v>0</v>
          </cell>
          <cell r="H19">
            <v>9.000000000000008E-2</v>
          </cell>
          <cell r="K19">
            <v>1.5089887640449451</v>
          </cell>
        </row>
        <row r="20">
          <cell r="E20">
            <v>0</v>
          </cell>
          <cell r="H20">
            <v>0</v>
          </cell>
          <cell r="K20">
            <v>2.041573033707865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1.5900000000000003</v>
          </cell>
          <cell r="K22">
            <v>3.9943820224719118</v>
          </cell>
        </row>
        <row r="23">
          <cell r="E23">
            <v>0</v>
          </cell>
          <cell r="H23">
            <v>2.0100000000000002</v>
          </cell>
          <cell r="K23">
            <v>3.4617977528089896</v>
          </cell>
        </row>
        <row r="24">
          <cell r="E24">
            <v>0</v>
          </cell>
          <cell r="H24">
            <v>0.15000000000000013</v>
          </cell>
          <cell r="K24">
            <v>3.4617977528089896</v>
          </cell>
        </row>
        <row r="25">
          <cell r="E25">
            <v>0</v>
          </cell>
          <cell r="H25">
            <v>4.4499999999999993</v>
          </cell>
          <cell r="K25">
            <v>0.97640449438202337</v>
          </cell>
        </row>
        <row r="26">
          <cell r="E26">
            <v>0</v>
          </cell>
          <cell r="H26">
            <v>0.90000000000000036</v>
          </cell>
          <cell r="K26">
            <v>0.79887640449438269</v>
          </cell>
        </row>
        <row r="27">
          <cell r="E27">
            <v>0</v>
          </cell>
          <cell r="H27">
            <v>0.27</v>
          </cell>
          <cell r="K27">
            <v>0.44382022471910149</v>
          </cell>
        </row>
        <row r="28">
          <cell r="E28">
            <v>0</v>
          </cell>
          <cell r="H28">
            <v>0.87999999999999989</v>
          </cell>
          <cell r="K28">
            <v>3.4617977528089896</v>
          </cell>
        </row>
        <row r="29">
          <cell r="E29">
            <v>0</v>
          </cell>
          <cell r="H29">
            <v>0.62999999999999989</v>
          </cell>
          <cell r="K29">
            <v>3.8168539325842712</v>
          </cell>
        </row>
        <row r="30">
          <cell r="E30">
            <v>0.6</v>
          </cell>
          <cell r="H30">
            <v>1.29</v>
          </cell>
          <cell r="K30">
            <v>0.79887640449438269</v>
          </cell>
        </row>
        <row r="31">
          <cell r="E31">
            <v>0</v>
          </cell>
          <cell r="H31">
            <v>3.4499999999999997</v>
          </cell>
          <cell r="K31">
            <v>3.4617977528089896</v>
          </cell>
        </row>
        <row r="32">
          <cell r="E32">
            <v>0</v>
          </cell>
          <cell r="H32">
            <v>0.55000000000000027</v>
          </cell>
          <cell r="K32">
            <v>0.44382022471910149</v>
          </cell>
        </row>
        <row r="33">
          <cell r="E33">
            <v>0</v>
          </cell>
          <cell r="H33">
            <v>0.25</v>
          </cell>
          <cell r="K33">
            <v>2.7516853932584273</v>
          </cell>
        </row>
        <row r="34">
          <cell r="E34">
            <v>0</v>
          </cell>
          <cell r="H34">
            <v>1.0000000000000009E-2</v>
          </cell>
          <cell r="K34">
            <v>0.79887640449438269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1.0000000000000009E-2</v>
          </cell>
          <cell r="K38">
            <v>0.26629213483146091</v>
          </cell>
        </row>
        <row r="39">
          <cell r="E39">
            <v>0</v>
          </cell>
          <cell r="H39">
            <v>2.1000000000000001E-2</v>
          </cell>
          <cell r="K39">
            <v>0</v>
          </cell>
        </row>
        <row r="40">
          <cell r="E40">
            <v>0</v>
          </cell>
          <cell r="H40">
            <v>1.6E-2</v>
          </cell>
          <cell r="K40">
            <v>8.8764044943820217E-2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</v>
          </cell>
          <cell r="K50">
            <v>1.7752808988764059</v>
          </cell>
        </row>
      </sheetData>
      <sheetData sheetId="4"/>
      <sheetData sheetId="5">
        <row r="8">
          <cell r="N8">
            <v>22.431925800519348</v>
          </cell>
        </row>
        <row r="9">
          <cell r="N9">
            <v>11.056373219639665</v>
          </cell>
        </row>
        <row r="10">
          <cell r="N10">
            <v>4.6072624061064795</v>
          </cell>
        </row>
        <row r="11">
          <cell r="N11">
            <v>6.1040790537762852</v>
          </cell>
        </row>
        <row r="12">
          <cell r="N12">
            <v>5.770239602201519</v>
          </cell>
        </row>
        <row r="13">
          <cell r="N13">
            <v>9.6463323630130606</v>
          </cell>
        </row>
        <row r="14">
          <cell r="N14">
            <v>19.384013215421227</v>
          </cell>
        </row>
        <row r="15">
          <cell r="N15">
            <v>2.8372681426248443</v>
          </cell>
        </row>
        <row r="16">
          <cell r="N16">
            <v>8.1600521462540136</v>
          </cell>
        </row>
        <row r="17">
          <cell r="N17">
            <v>4.3554381006105958</v>
          </cell>
        </row>
        <row r="18">
          <cell r="N18">
            <v>2.4748924606106643E-2</v>
          </cell>
        </row>
        <row r="19">
          <cell r="N19">
            <v>0.11041687714576358</v>
          </cell>
        </row>
        <row r="20">
          <cell r="N20">
            <v>5.5118501480810949</v>
          </cell>
        </row>
        <row r="32">
          <cell r="N32">
            <v>2.8571806380437752</v>
          </cell>
        </row>
        <row r="33">
          <cell r="N33">
            <v>2.8000597553017679</v>
          </cell>
        </row>
        <row r="34">
          <cell r="N34">
            <v>2.0150133797805951</v>
          </cell>
        </row>
        <row r="35">
          <cell r="N35">
            <v>1.3691156367742288</v>
          </cell>
        </row>
        <row r="36">
          <cell r="N36">
            <v>2.0150038097392979</v>
          </cell>
        </row>
        <row r="37">
          <cell r="N37">
            <v>2.6527055846922782</v>
          </cell>
        </row>
        <row r="38">
          <cell r="N38">
            <v>1.0199839963038122</v>
          </cell>
        </row>
        <row r="39">
          <cell r="N39">
            <v>0.93457282511038986</v>
          </cell>
        </row>
        <row r="43">
          <cell r="N43">
            <v>5.770239602201519</v>
          </cell>
        </row>
        <row r="44">
          <cell r="N44">
            <v>5.8372231387936022</v>
          </cell>
        </row>
        <row r="45">
          <cell r="N45">
            <v>3.8091092242194584</v>
          </cell>
        </row>
        <row r="46">
          <cell r="N46">
            <v>6.4261573534877217</v>
          </cell>
        </row>
        <row r="47">
          <cell r="N47">
            <v>1.7985251440335723</v>
          </cell>
        </row>
        <row r="48">
          <cell r="N48">
            <v>0.75558460330739674</v>
          </cell>
        </row>
        <row r="49">
          <cell r="N49">
            <v>5.1394590848208441</v>
          </cell>
        </row>
        <row r="50">
          <cell r="N50">
            <v>5.2642870297716904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H12 PB BAN"/>
      <sheetName val="ISS H12 PB PAR"/>
      <sheetName val="IVR H12 Pb PAR"/>
      <sheetName val="IVR H12 PB BAN"/>
      <sheetName val="ROM H12 PB BAN"/>
      <sheetName val="ROM H12 PB PAR"/>
      <sheetName val="STO H12 PB PAR"/>
      <sheetName val="STO H12 PB BAN"/>
      <sheetName val="Synthèse PB"/>
      <sheetName val="ISS H12 PC Ban"/>
      <sheetName val="ISS H12 PC PAR"/>
      <sheetName val="IVR H12 PC BAN"/>
      <sheetName val="IVR H12 PC PAR"/>
      <sheetName val="STO H12 PC BAN"/>
      <sheetName val="STO H12 PC PAR"/>
      <sheetName val="ROM H12 PC BAN"/>
      <sheetName val="ROM H12 PC PAR"/>
      <sheetName val="Synthèse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8">
          <cell r="B68" t="str">
            <v>Déchets Putrescibles</v>
          </cell>
        </row>
        <row r="69">
          <cell r="B69" t="str">
            <v>Papiers</v>
          </cell>
        </row>
        <row r="70">
          <cell r="B70" t="str">
            <v>Cartons</v>
          </cell>
        </row>
        <row r="71">
          <cell r="B71" t="str">
            <v>Composites</v>
          </cell>
        </row>
        <row r="72">
          <cell r="B72" t="str">
            <v xml:space="preserve">Textiles </v>
          </cell>
        </row>
        <row r="73">
          <cell r="B73" t="str">
            <v>Textiles sanitaires</v>
          </cell>
        </row>
        <row r="74">
          <cell r="B74" t="str">
            <v>Plastiques</v>
          </cell>
        </row>
        <row r="75">
          <cell r="B75" t="str">
            <v>Combustibles non classés</v>
          </cell>
        </row>
        <row r="76">
          <cell r="B76" t="str">
            <v>Verre</v>
          </cell>
        </row>
        <row r="77">
          <cell r="B77" t="str">
            <v>Métaux</v>
          </cell>
        </row>
        <row r="78">
          <cell r="B78" t="str">
            <v>Incombustibles non classés</v>
          </cell>
        </row>
        <row r="79">
          <cell r="B79" t="str">
            <v>Déchets ménagers spéciaux</v>
          </cell>
        </row>
        <row r="80">
          <cell r="B80" t="str">
            <v>Eléments fins &lt; 20 mm</v>
          </cell>
        </row>
        <row r="84">
          <cell r="B84" t="str">
            <v>Déchets Putrescibles</v>
          </cell>
        </row>
        <row r="85">
          <cell r="B85" t="str">
            <v>Papiers</v>
          </cell>
        </row>
        <row r="86">
          <cell r="B86" t="str">
            <v>Cartons</v>
          </cell>
        </row>
        <row r="87">
          <cell r="B87" t="str">
            <v>Composites</v>
          </cell>
        </row>
        <row r="88">
          <cell r="B88" t="str">
            <v xml:space="preserve">Textiles </v>
          </cell>
        </row>
        <row r="89">
          <cell r="B89" t="str">
            <v>Textiles sanitaires</v>
          </cell>
        </row>
        <row r="90">
          <cell r="B90" t="str">
            <v>Plastiques</v>
          </cell>
        </row>
        <row r="91">
          <cell r="B91" t="str">
            <v>Combustibles non classés</v>
          </cell>
        </row>
        <row r="92">
          <cell r="B92" t="str">
            <v>Verre</v>
          </cell>
        </row>
        <row r="93">
          <cell r="B93" t="str">
            <v>Métaux</v>
          </cell>
        </row>
        <row r="94">
          <cell r="B94" t="str">
            <v>Incombustibles non classés</v>
          </cell>
        </row>
        <row r="95">
          <cell r="B95" t="str">
            <v>Déchets ménagers spéciaux</v>
          </cell>
        </row>
        <row r="96">
          <cell r="B96" t="str">
            <v>Eléments fins &lt; 20 mm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A11 PB BAN"/>
      <sheetName val="ISS A11 PB PAR"/>
      <sheetName val="IVR A11 PB BAN"/>
      <sheetName val="IVR A11 PB PAR"/>
      <sheetName val="ROM A11 PB BAN"/>
      <sheetName val="ROM A11 PB PAR"/>
      <sheetName val="STO A11 PB BAN"/>
      <sheetName val="STO A11 PB PAR"/>
      <sheetName val="Synthèse A11 PB"/>
      <sheetName val="ISS A11 PC BAN"/>
      <sheetName val="ISS A11 PC PAR"/>
      <sheetName val="IVR A11 PC BAN"/>
      <sheetName val="IVR A1 PC PAR"/>
      <sheetName val="ROM A11 PC BAN"/>
      <sheetName val="ROM A11 PC PAR"/>
      <sheetName val="STO A11 PC BAN"/>
      <sheetName val="STO A11 PC PAR"/>
      <sheetName val="Synthèse A11 PC"/>
      <sheetName val="Analyses par catégories"/>
      <sheetName val="SYCTOM déchets organiques"/>
      <sheetName val="Déchets ini. recons."/>
      <sheetName val="Syctom CSR"/>
      <sheetName val="Fraction 8mm-20mm"/>
      <sheetName val="Granulo 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4">
          <cell r="B164" t="str">
            <v>OMR</v>
          </cell>
        </row>
        <row r="166">
          <cell r="B166" t="str">
            <v>Collecte sélective</v>
          </cell>
        </row>
        <row r="167">
          <cell r="B167" t="str">
            <v>Verre</v>
          </cell>
        </row>
        <row r="168">
          <cell r="B168" t="str">
            <v>Textiles</v>
          </cell>
        </row>
        <row r="169">
          <cell r="B169" t="str">
            <v>Déchets ménagers spéciaux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ISS H15 PC BAN</v>
          </cell>
        </row>
        <row r="6">
          <cell r="D6" t="str">
            <v>Meudon CP 196 MB</v>
          </cell>
        </row>
        <row r="8">
          <cell r="D8" t="str">
            <v>ISSEANE</v>
          </cell>
        </row>
        <row r="12">
          <cell r="B12">
            <v>42047</v>
          </cell>
          <cell r="E12">
            <v>0.39930555555555558</v>
          </cell>
        </row>
        <row r="15">
          <cell r="E15" t="str">
            <v>sec ensoleillé</v>
          </cell>
        </row>
        <row r="19">
          <cell r="G19">
            <v>128.1</v>
          </cell>
        </row>
        <row r="26">
          <cell r="H26">
            <v>0.61</v>
          </cell>
        </row>
        <row r="51">
          <cell r="D51">
            <v>0.4366198282591725</v>
          </cell>
        </row>
      </sheetData>
      <sheetData sheetId="1" refreshError="1"/>
      <sheetData sheetId="2">
        <row r="27">
          <cell r="C27">
            <v>2.1799999999999997</v>
          </cell>
          <cell r="D27">
            <v>4.4800000000000004</v>
          </cell>
        </row>
      </sheetData>
      <sheetData sheetId="3">
        <row r="5">
          <cell r="E5">
            <v>2.9</v>
          </cell>
          <cell r="H5">
            <v>19.98</v>
          </cell>
          <cell r="K5">
            <v>32.207567567567565</v>
          </cell>
        </row>
        <row r="6">
          <cell r="E6">
            <v>2.8</v>
          </cell>
          <cell r="H6">
            <v>2.96</v>
          </cell>
          <cell r="K6">
            <v>3.7383783783783784</v>
          </cell>
        </row>
        <row r="7">
          <cell r="E7">
            <v>0</v>
          </cell>
          <cell r="H7">
            <v>0.20000000000000018</v>
          </cell>
          <cell r="K7">
            <v>0.71891891891891946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Calcul sous cat &gt;20"/>
      <sheetName val="F5_synthèse  (2)"/>
    </sheetNames>
    <sheetDataSet>
      <sheetData sheetId="0">
        <row r="5">
          <cell r="D5" t="str">
            <v>ISS H15 PC PAR</v>
          </cell>
        </row>
        <row r="6">
          <cell r="D6" t="str">
            <v>AV 687 AZ paris 16</v>
          </cell>
        </row>
        <row r="8">
          <cell r="D8" t="str">
            <v>ISSEANE</v>
          </cell>
        </row>
        <row r="12">
          <cell r="B12">
            <v>42047</v>
          </cell>
          <cell r="E12">
            <v>0.33333333333333331</v>
          </cell>
        </row>
        <row r="15">
          <cell r="E15" t="str">
            <v>sec et ensoleillé</v>
          </cell>
        </row>
        <row r="19">
          <cell r="G19">
            <v>125.60000000000001</v>
          </cell>
        </row>
        <row r="26">
          <cell r="H26">
            <v>0.60000000000000009</v>
          </cell>
        </row>
        <row r="51">
          <cell r="D51">
            <v>0.40509554140127368</v>
          </cell>
        </row>
      </sheetData>
      <sheetData sheetId="1" refreshError="1"/>
      <sheetData sheetId="2">
        <row r="27">
          <cell r="C27">
            <v>1.3199999999999998</v>
          </cell>
          <cell r="D27">
            <v>2.7</v>
          </cell>
        </row>
      </sheetData>
      <sheetData sheetId="3">
        <row r="5">
          <cell r="E5">
            <v>0</v>
          </cell>
          <cell r="H5">
            <v>25.379999999999995</v>
          </cell>
          <cell r="K5">
            <v>36.29904761904762</v>
          </cell>
        </row>
        <row r="6">
          <cell r="E6">
            <v>0</v>
          </cell>
          <cell r="H6">
            <v>5.54</v>
          </cell>
          <cell r="K6">
            <v>3.1841269841269839</v>
          </cell>
        </row>
        <row r="7">
          <cell r="E7">
            <v>0</v>
          </cell>
          <cell r="H7">
            <v>0.12000000000000011</v>
          </cell>
          <cell r="K7">
            <v>0.3184126984126987</v>
          </cell>
        </row>
      </sheetData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 H15 PC BAN</v>
          </cell>
        </row>
        <row r="6">
          <cell r="D6" t="str">
            <v>Vitry-sur-seine CX 441 TJ</v>
          </cell>
        </row>
        <row r="8">
          <cell r="D8" t="str">
            <v>IVRY</v>
          </cell>
        </row>
        <row r="12">
          <cell r="B12">
            <v>42039</v>
          </cell>
          <cell r="E12">
            <v>0.32291666666666669</v>
          </cell>
        </row>
        <row r="15">
          <cell r="E15" t="str">
            <v>sec et ensoleillé</v>
          </cell>
        </row>
        <row r="19">
          <cell r="G19">
            <v>127.39999999999999</v>
          </cell>
        </row>
        <row r="26">
          <cell r="H26">
            <v>0.60000000000000009</v>
          </cell>
        </row>
        <row r="51">
          <cell r="D51">
            <v>0.43814756671899524</v>
          </cell>
        </row>
      </sheetData>
      <sheetData sheetId="1" refreshError="1"/>
      <sheetData sheetId="2">
        <row r="27">
          <cell r="C27">
            <v>2.5</v>
          </cell>
          <cell r="D27">
            <v>4.04</v>
          </cell>
        </row>
      </sheetData>
      <sheetData sheetId="3">
        <row r="5">
          <cell r="E5">
            <v>0.18</v>
          </cell>
          <cell r="H5">
            <v>27.84</v>
          </cell>
          <cell r="K5">
            <v>20.746835443037973</v>
          </cell>
        </row>
        <row r="6">
          <cell r="E6">
            <v>0</v>
          </cell>
          <cell r="H6">
            <v>5.44</v>
          </cell>
          <cell r="K6">
            <v>10.78835443037975</v>
          </cell>
        </row>
        <row r="7">
          <cell r="E7">
            <v>0</v>
          </cell>
          <cell r="H7">
            <v>0.14000000000000012</v>
          </cell>
          <cell r="K7">
            <v>1.2448101265822797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 H15 PC PAR</v>
          </cell>
        </row>
        <row r="6">
          <cell r="D6" t="str">
            <v>CN 303 PT Paris 20</v>
          </cell>
        </row>
        <row r="8">
          <cell r="D8" t="str">
            <v>IVRY</v>
          </cell>
        </row>
        <row r="12">
          <cell r="B12">
            <v>42039</v>
          </cell>
          <cell r="E12">
            <v>0.3576388888888889</v>
          </cell>
        </row>
        <row r="15">
          <cell r="E15" t="str">
            <v>sec et ensoleillé</v>
          </cell>
        </row>
        <row r="19">
          <cell r="G19">
            <v>125.60000000000002</v>
          </cell>
        </row>
        <row r="26">
          <cell r="H26">
            <v>0.69</v>
          </cell>
        </row>
        <row r="51">
          <cell r="D51">
            <v>0.39775477707006385</v>
          </cell>
        </row>
      </sheetData>
      <sheetData sheetId="1" refreshError="1"/>
      <sheetData sheetId="2">
        <row r="27">
          <cell r="C27">
            <v>3.6399999999999997</v>
          </cell>
          <cell r="D27">
            <v>3.9999999999999996</v>
          </cell>
        </row>
      </sheetData>
      <sheetData sheetId="3">
        <row r="5">
          <cell r="E5">
            <v>0.72</v>
          </cell>
          <cell r="H5">
            <v>27.359999999999996</v>
          </cell>
          <cell r="K5">
            <v>30.650495049504951</v>
          </cell>
        </row>
        <row r="6">
          <cell r="E6">
            <v>0</v>
          </cell>
          <cell r="H6">
            <v>3.4400000000000004</v>
          </cell>
          <cell r="K6">
            <v>4.9281188118811894</v>
          </cell>
        </row>
        <row r="7">
          <cell r="E7">
            <v>0</v>
          </cell>
          <cell r="H7">
            <v>0.29999999999999982</v>
          </cell>
          <cell r="K7">
            <v>0.60099009900990097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ROM-H15-PC-BAN</v>
          </cell>
        </row>
        <row r="6">
          <cell r="D6" t="str">
            <v>ROM-H15-PB-BAN</v>
          </cell>
        </row>
        <row r="13">
          <cell r="B13">
            <v>42046</v>
          </cell>
          <cell r="E13">
            <v>0.38541666666666669</v>
          </cell>
        </row>
        <row r="20">
          <cell r="G20">
            <v>125.69999999999999</v>
          </cell>
        </row>
        <row r="21">
          <cell r="H21">
            <v>0.28000000000000003</v>
          </cell>
        </row>
        <row r="22">
          <cell r="H22">
            <v>0.22</v>
          </cell>
        </row>
        <row r="23">
          <cell r="H23">
            <v>0.15</v>
          </cell>
        </row>
        <row r="51">
          <cell r="D51">
            <v>0.31646778042959406</v>
          </cell>
        </row>
      </sheetData>
      <sheetData sheetId="1" refreshError="1"/>
      <sheetData sheetId="2">
        <row r="27">
          <cell r="C27">
            <v>5.94</v>
          </cell>
          <cell r="D27">
            <v>4.16</v>
          </cell>
        </row>
      </sheetData>
      <sheetData sheetId="3">
        <row r="5">
          <cell r="E5">
            <v>1.5</v>
          </cell>
          <cell r="H5">
            <v>30.819999999999993</v>
          </cell>
          <cell r="K5">
            <v>37.097095435684643</v>
          </cell>
        </row>
        <row r="6">
          <cell r="E6">
            <v>0</v>
          </cell>
          <cell r="H6">
            <v>2.3400000000000003</v>
          </cell>
          <cell r="K6">
            <v>2.5643153526970979</v>
          </cell>
        </row>
        <row r="7">
          <cell r="E7">
            <v>0</v>
          </cell>
          <cell r="H7">
            <v>0.18000000000000016</v>
          </cell>
          <cell r="K7">
            <v>1.025726141078839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ROM-H15-PC-PAR</v>
          </cell>
        </row>
        <row r="6">
          <cell r="D6" t="str">
            <v>DC 311 GD Paris 20</v>
          </cell>
        </row>
        <row r="8">
          <cell r="D8" t="str">
            <v>Romainville</v>
          </cell>
        </row>
        <row r="12">
          <cell r="B12">
            <v>42046</v>
          </cell>
          <cell r="E12">
            <v>0.33333333333333331</v>
          </cell>
        </row>
        <row r="15">
          <cell r="E15" t="str">
            <v>sec et ensoleillé</v>
          </cell>
        </row>
        <row r="19">
          <cell r="G19">
            <v>125.9</v>
          </cell>
        </row>
        <row r="26">
          <cell r="H26">
            <v>0.5</v>
          </cell>
        </row>
        <row r="51">
          <cell r="D51">
            <v>0.41069102462271656</v>
          </cell>
        </row>
      </sheetData>
      <sheetData sheetId="1" refreshError="1"/>
      <sheetData sheetId="2">
        <row r="27">
          <cell r="C27">
            <v>8.32</v>
          </cell>
          <cell r="D27">
            <v>5.46</v>
          </cell>
        </row>
      </sheetData>
      <sheetData sheetId="3">
        <row r="5">
          <cell r="E5">
            <v>0</v>
          </cell>
          <cell r="H5">
            <v>16.22</v>
          </cell>
          <cell r="K5">
            <v>34.418823529411767</v>
          </cell>
        </row>
        <row r="6">
          <cell r="E6">
            <v>0</v>
          </cell>
          <cell r="H6">
            <v>6.3400000000000007</v>
          </cell>
          <cell r="K6">
            <v>2.5439999999999987</v>
          </cell>
        </row>
        <row r="7">
          <cell r="E7">
            <v>0</v>
          </cell>
          <cell r="H7">
            <v>0.12000000000000011</v>
          </cell>
          <cell r="K7">
            <v>0.85298823529412005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 H15 PC BAN</v>
          </cell>
        </row>
        <row r="6">
          <cell r="D6" t="str">
            <v>DH 862 TB Saint Ouen</v>
          </cell>
        </row>
        <row r="8">
          <cell r="D8" t="str">
            <v>SAINT OUEN</v>
          </cell>
        </row>
        <row r="12">
          <cell r="B12">
            <v>42040</v>
          </cell>
          <cell r="E12">
            <v>0.3888888888888889</v>
          </cell>
        </row>
        <row r="15">
          <cell r="E15" t="str">
            <v>sec</v>
          </cell>
        </row>
        <row r="19">
          <cell r="G19">
            <v>128.19999999999999</v>
          </cell>
        </row>
        <row r="26">
          <cell r="H26">
            <v>0.52</v>
          </cell>
        </row>
        <row r="51">
          <cell r="D51">
            <v>0.36860374414976588</v>
          </cell>
        </row>
      </sheetData>
      <sheetData sheetId="1" refreshError="1"/>
      <sheetData sheetId="2">
        <row r="27">
          <cell r="C27">
            <v>5.5400000000000009</v>
          </cell>
          <cell r="D27">
            <v>5.7</v>
          </cell>
        </row>
      </sheetData>
      <sheetData sheetId="3">
        <row r="5">
          <cell r="E5">
            <v>0</v>
          </cell>
          <cell r="H5">
            <v>30.98</v>
          </cell>
          <cell r="K5">
            <v>29.577177419354832</v>
          </cell>
        </row>
        <row r="6">
          <cell r="E6">
            <v>0</v>
          </cell>
          <cell r="H6">
            <v>2.1800000000000002</v>
          </cell>
          <cell r="K6">
            <v>6.5396774193548382</v>
          </cell>
        </row>
        <row r="7">
          <cell r="E7">
            <v>0</v>
          </cell>
          <cell r="H7">
            <v>0.29999999999999982</v>
          </cell>
          <cell r="K7">
            <v>0.44588709677419397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 H15PC PAR</v>
          </cell>
        </row>
        <row r="6">
          <cell r="D6" t="str">
            <v>AA 329 EP Paris 17</v>
          </cell>
        </row>
        <row r="8">
          <cell r="D8" t="str">
            <v>SAINT OUEN</v>
          </cell>
        </row>
        <row r="12">
          <cell r="B12">
            <v>42040</v>
          </cell>
          <cell r="E12">
            <v>0.33333333333333331</v>
          </cell>
        </row>
        <row r="15">
          <cell r="E15" t="str">
            <v>sec</v>
          </cell>
        </row>
        <row r="19">
          <cell r="G19">
            <v>125.89999999999999</v>
          </cell>
        </row>
        <row r="26">
          <cell r="H26">
            <v>0.58000000000000007</v>
          </cell>
        </row>
        <row r="51">
          <cell r="D51">
            <v>0.38999205718824453</v>
          </cell>
        </row>
      </sheetData>
      <sheetData sheetId="1" refreshError="1"/>
      <sheetData sheetId="2">
        <row r="27">
          <cell r="C27">
            <v>2.66</v>
          </cell>
          <cell r="D27">
            <v>4.32</v>
          </cell>
        </row>
      </sheetData>
      <sheetData sheetId="3">
        <row r="5">
          <cell r="E5">
            <v>1.54</v>
          </cell>
          <cell r="H5">
            <v>28.06</v>
          </cell>
          <cell r="K5">
            <v>29.3475</v>
          </cell>
        </row>
        <row r="6">
          <cell r="E6">
            <v>0</v>
          </cell>
          <cell r="H6">
            <v>4.2</v>
          </cell>
          <cell r="K6">
            <v>5.5773529411764695</v>
          </cell>
        </row>
        <row r="7">
          <cell r="E7">
            <v>0</v>
          </cell>
          <cell r="H7">
            <v>0.18000000000000016</v>
          </cell>
          <cell r="K7">
            <v>0.7967647058823536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H15 PB PAR</v>
          </cell>
        </row>
        <row r="6">
          <cell r="D6" t="str">
            <v>AV 687 AZ paris 16</v>
          </cell>
        </row>
        <row r="8">
          <cell r="D8" t="str">
            <v>ISSEANE</v>
          </cell>
        </row>
        <row r="12">
          <cell r="B12">
            <v>42047</v>
          </cell>
          <cell r="E12">
            <v>0.33333333333333331</v>
          </cell>
        </row>
        <row r="15">
          <cell r="E15" t="str">
            <v>sec et ensoleillé</v>
          </cell>
        </row>
        <row r="19">
          <cell r="G19">
            <v>126</v>
          </cell>
        </row>
        <row r="26">
          <cell r="H26">
            <v>0.59</v>
          </cell>
        </row>
        <row r="51">
          <cell r="D51">
            <v>0.38634126984126987</v>
          </cell>
        </row>
      </sheetData>
      <sheetData sheetId="1"/>
      <sheetData sheetId="2">
        <row r="27">
          <cell r="C27">
            <v>3.3</v>
          </cell>
          <cell r="D27">
            <v>3.8400000000000003</v>
          </cell>
        </row>
      </sheetData>
      <sheetData sheetId="3">
        <row r="5">
          <cell r="E5">
            <v>0</v>
          </cell>
          <cell r="H5">
            <v>5.0000000000000044E-2</v>
          </cell>
          <cell r="K5">
            <v>6.0417490494296588</v>
          </cell>
        </row>
        <row r="6">
          <cell r="E6">
            <v>0</v>
          </cell>
          <cell r="H6">
            <v>0.29000000000000004</v>
          </cell>
          <cell r="K6">
            <v>0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0.43000000000000016</v>
          </cell>
          <cell r="K10">
            <v>0.42547528517110311</v>
          </cell>
        </row>
        <row r="11">
          <cell r="E11">
            <v>0</v>
          </cell>
          <cell r="H11">
            <v>2.65</v>
          </cell>
          <cell r="K11">
            <v>0</v>
          </cell>
        </row>
        <row r="12">
          <cell r="E12">
            <v>0</v>
          </cell>
          <cell r="H12">
            <v>1.5100000000000002</v>
          </cell>
          <cell r="K12">
            <v>0</v>
          </cell>
        </row>
        <row r="13">
          <cell r="E13">
            <v>0</v>
          </cell>
          <cell r="H13">
            <v>4.59</v>
          </cell>
          <cell r="K13">
            <v>2.4677566539923963</v>
          </cell>
        </row>
        <row r="14">
          <cell r="E14">
            <v>0</v>
          </cell>
          <cell r="H14">
            <v>0.73</v>
          </cell>
          <cell r="K14">
            <v>0.25528517110266186</v>
          </cell>
        </row>
        <row r="15">
          <cell r="E15">
            <v>0</v>
          </cell>
          <cell r="H15">
            <v>0.37000000000000011</v>
          </cell>
          <cell r="K15">
            <v>2.4677566539923963</v>
          </cell>
        </row>
        <row r="16">
          <cell r="E16">
            <v>0.78</v>
          </cell>
          <cell r="H16">
            <v>1.7600000000000002</v>
          </cell>
          <cell r="K16">
            <v>0.25528517110266186</v>
          </cell>
        </row>
        <row r="17">
          <cell r="E17">
            <v>0.28000000000000003</v>
          </cell>
          <cell r="H17">
            <v>5.0000000000000044E-2</v>
          </cell>
          <cell r="K17">
            <v>1.106235741444868</v>
          </cell>
        </row>
        <row r="18">
          <cell r="E18">
            <v>0</v>
          </cell>
          <cell r="H18">
            <v>0.29000000000000004</v>
          </cell>
          <cell r="K18">
            <v>0.42547528517110311</v>
          </cell>
        </row>
        <row r="19">
          <cell r="E19">
            <v>0</v>
          </cell>
          <cell r="H19">
            <v>3.0000000000000027E-2</v>
          </cell>
          <cell r="K19">
            <v>0.93604562737642683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0.91000000000000014</v>
          </cell>
          <cell r="K22">
            <v>0.25528517110266186</v>
          </cell>
        </row>
        <row r="23">
          <cell r="E23">
            <v>0</v>
          </cell>
          <cell r="H23">
            <v>1.0000000000000009E-2</v>
          </cell>
          <cell r="K23">
            <v>3.6590874524714851</v>
          </cell>
        </row>
        <row r="24">
          <cell r="E24">
            <v>0</v>
          </cell>
          <cell r="H24">
            <v>9.000000000000008E-2</v>
          </cell>
          <cell r="K24">
            <v>5.8715589353612172</v>
          </cell>
        </row>
        <row r="25">
          <cell r="E25">
            <v>0</v>
          </cell>
          <cell r="H25">
            <v>4.3699999999999992</v>
          </cell>
          <cell r="K25">
            <v>1.2764258555133092</v>
          </cell>
        </row>
        <row r="26">
          <cell r="E26">
            <v>0</v>
          </cell>
          <cell r="H26">
            <v>0.71</v>
          </cell>
          <cell r="K26">
            <v>1.106235741444868</v>
          </cell>
        </row>
        <row r="27">
          <cell r="E27">
            <v>0</v>
          </cell>
          <cell r="H27">
            <v>9.000000000000008E-2</v>
          </cell>
          <cell r="K27">
            <v>0.76585551330798562</v>
          </cell>
        </row>
        <row r="28">
          <cell r="E28">
            <v>0</v>
          </cell>
          <cell r="H28">
            <v>0.81</v>
          </cell>
          <cell r="K28">
            <v>2.2975665399239551</v>
          </cell>
        </row>
        <row r="29">
          <cell r="E29">
            <v>0</v>
          </cell>
          <cell r="H29">
            <v>0.15000000000000013</v>
          </cell>
          <cell r="K29">
            <v>2.1273764258555135</v>
          </cell>
        </row>
        <row r="30">
          <cell r="E30">
            <v>0</v>
          </cell>
          <cell r="H30">
            <v>0.95000000000000018</v>
          </cell>
          <cell r="K30">
            <v>0.59566539923954431</v>
          </cell>
        </row>
        <row r="31">
          <cell r="E31">
            <v>0</v>
          </cell>
          <cell r="H31">
            <v>3.53</v>
          </cell>
          <cell r="K31">
            <v>5.0206083650190152</v>
          </cell>
        </row>
        <row r="32">
          <cell r="E32">
            <v>0</v>
          </cell>
          <cell r="H32">
            <v>0</v>
          </cell>
          <cell r="K32">
            <v>2.4677566539923963</v>
          </cell>
        </row>
        <row r="33">
          <cell r="E33">
            <v>0</v>
          </cell>
          <cell r="H33">
            <v>0.15000000000000013</v>
          </cell>
          <cell r="K33">
            <v>0.93604562737642683</v>
          </cell>
        </row>
        <row r="34">
          <cell r="E34">
            <v>0</v>
          </cell>
          <cell r="H34">
            <v>5.0000000000000044E-2</v>
          </cell>
          <cell r="K34">
            <v>0.42547528517110311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1.0000000000000009E-2</v>
          </cell>
          <cell r="K37">
            <v>0.13615209125475289</v>
          </cell>
        </row>
        <row r="38">
          <cell r="E38">
            <v>0</v>
          </cell>
          <cell r="H38">
            <v>0</v>
          </cell>
          <cell r="K38">
            <v>0.25528517110266186</v>
          </cell>
        </row>
        <row r="39">
          <cell r="E39">
            <v>0</v>
          </cell>
          <cell r="H39">
            <v>0.22999999999999998</v>
          </cell>
          <cell r="K39">
            <v>2.4677566539923963</v>
          </cell>
        </row>
        <row r="40">
          <cell r="E40">
            <v>0</v>
          </cell>
          <cell r="H40">
            <v>7.8E-2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0.18000000000000016</v>
          </cell>
          <cell r="K50">
            <v>1.5317110266159712</v>
          </cell>
        </row>
      </sheetData>
      <sheetData sheetId="4"/>
      <sheetData sheetId="5">
        <row r="8">
          <cell r="N8">
            <v>17.94374587644047</v>
          </cell>
        </row>
        <row r="9">
          <cell r="N9">
            <v>15.029629900576674</v>
          </cell>
        </row>
        <row r="10">
          <cell r="N10">
            <v>8.1374119218950476</v>
          </cell>
        </row>
        <row r="11">
          <cell r="N11">
            <v>2.4361689000505984</v>
          </cell>
        </row>
        <row r="12">
          <cell r="N12">
            <v>1.3401604400057292</v>
          </cell>
        </row>
        <row r="13">
          <cell r="N13">
            <v>11.393875242807828</v>
          </cell>
        </row>
        <row r="14">
          <cell r="N14">
            <v>17.781286322271477</v>
          </cell>
        </row>
        <row r="15">
          <cell r="N15">
            <v>1.8153479123607303</v>
          </cell>
        </row>
        <row r="16">
          <cell r="N16">
            <v>12.656505727244102</v>
          </cell>
        </row>
        <row r="17">
          <cell r="N17">
            <v>2.3282416643991461</v>
          </cell>
        </row>
        <row r="18">
          <cell r="N18">
            <v>3.538441267751026</v>
          </cell>
        </row>
        <row r="19">
          <cell r="N19">
            <v>9.1487116589973536E-2</v>
          </cell>
        </row>
        <row r="20">
          <cell r="N20">
            <v>5.5076977076071767</v>
          </cell>
        </row>
        <row r="32">
          <cell r="N32">
            <v>1.0084158063198088</v>
          </cell>
        </row>
        <row r="33">
          <cell r="N33">
            <v>3.0198734537542462</v>
          </cell>
        </row>
        <row r="34">
          <cell r="N34">
            <v>1.7207580811958154</v>
          </cell>
        </row>
        <row r="35">
          <cell r="N35">
            <v>8.1225857019192347</v>
          </cell>
        </row>
        <row r="36">
          <cell r="N36">
            <v>1.1579968573875699</v>
          </cell>
        </row>
        <row r="37">
          <cell r="N37">
            <v>3.2514151549679102</v>
          </cell>
        </row>
        <row r="38">
          <cell r="N38">
            <v>3.2054419606670801</v>
          </cell>
        </row>
        <row r="39">
          <cell r="N39">
            <v>1.6805548062600562</v>
          </cell>
        </row>
        <row r="43">
          <cell r="N43">
            <v>1.3401604400057292</v>
          </cell>
        </row>
        <row r="44">
          <cell r="N44">
            <v>4.377991128539259</v>
          </cell>
        </row>
        <row r="45">
          <cell r="N45">
            <v>7.0158841142685686</v>
          </cell>
        </row>
        <row r="46">
          <cell r="N46">
            <v>7.4831418940348842</v>
          </cell>
        </row>
        <row r="47">
          <cell r="N47">
            <v>2.1513919122054839</v>
          </cell>
        </row>
        <row r="48">
          <cell r="N48">
            <v>1.0136190590765413</v>
          </cell>
        </row>
        <row r="49">
          <cell r="N49">
            <v>4.116231923586561</v>
          </cell>
        </row>
        <row r="50">
          <cell r="N50">
            <v>3.0169015333680065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 H15 PB BAN</v>
          </cell>
        </row>
        <row r="6">
          <cell r="D6" t="str">
            <v>Vitry-sur-seine CX 441 TJ</v>
          </cell>
        </row>
        <row r="8">
          <cell r="D8" t="str">
            <v>IVRY</v>
          </cell>
        </row>
        <row r="12">
          <cell r="B12">
            <v>42039</v>
          </cell>
          <cell r="E12">
            <v>0.32291666666666669</v>
          </cell>
        </row>
        <row r="15">
          <cell r="E15" t="str">
            <v>sec et ensoleillé</v>
          </cell>
        </row>
        <row r="19">
          <cell r="G19">
            <v>128.1</v>
          </cell>
        </row>
        <row r="26">
          <cell r="H26">
            <v>0.43</v>
          </cell>
        </row>
        <row r="51">
          <cell r="D51">
            <v>0.34925839188134267</v>
          </cell>
        </row>
      </sheetData>
      <sheetData sheetId="1"/>
      <sheetData sheetId="2">
        <row r="27">
          <cell r="C27">
            <v>4.32</v>
          </cell>
          <cell r="D27">
            <v>7.2399999999999993</v>
          </cell>
        </row>
      </sheetData>
      <sheetData sheetId="3">
        <row r="5">
          <cell r="E5">
            <v>0</v>
          </cell>
          <cell r="H5">
            <v>9.000000000000008E-2</v>
          </cell>
          <cell r="K5">
            <v>2.4540856031128411</v>
          </cell>
        </row>
        <row r="6">
          <cell r="E6">
            <v>0</v>
          </cell>
          <cell r="H6">
            <v>9.000000000000008E-2</v>
          </cell>
          <cell r="K6">
            <v>3.7161867704280178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7.01167315175098E-2</v>
          </cell>
        </row>
        <row r="9">
          <cell r="E9">
            <v>0</v>
          </cell>
          <cell r="H9">
            <v>0</v>
          </cell>
          <cell r="K9">
            <v>7.01167315175098E-2</v>
          </cell>
        </row>
        <row r="10">
          <cell r="E10">
            <v>0</v>
          </cell>
          <cell r="H10">
            <v>1.0000000000000009E-2</v>
          </cell>
          <cell r="K10">
            <v>0.4908171206225686</v>
          </cell>
        </row>
        <row r="11">
          <cell r="E11">
            <v>0</v>
          </cell>
          <cell r="H11">
            <v>0</v>
          </cell>
          <cell r="K11">
            <v>0.35058365758754895</v>
          </cell>
        </row>
        <row r="12">
          <cell r="E12">
            <v>0</v>
          </cell>
          <cell r="H12">
            <v>6.1899999999999995</v>
          </cell>
          <cell r="K12">
            <v>0.77128404669260775</v>
          </cell>
        </row>
        <row r="13">
          <cell r="E13">
            <v>0</v>
          </cell>
          <cell r="H13">
            <v>1.31</v>
          </cell>
          <cell r="K13">
            <v>0.35058365758754895</v>
          </cell>
        </row>
        <row r="14">
          <cell r="E14">
            <v>2.62</v>
          </cell>
          <cell r="H14">
            <v>2.9599999999999995</v>
          </cell>
          <cell r="K14">
            <v>1.7529182879377432</v>
          </cell>
        </row>
        <row r="15">
          <cell r="E15">
            <v>0</v>
          </cell>
          <cell r="H15">
            <v>0.49000000000000021</v>
          </cell>
          <cell r="K15">
            <v>2.7345525291828801</v>
          </cell>
        </row>
        <row r="16">
          <cell r="E16">
            <v>0.36</v>
          </cell>
          <cell r="H16">
            <v>0.49000000000000021</v>
          </cell>
          <cell r="K16">
            <v>7.01167315175098E-2</v>
          </cell>
        </row>
        <row r="17">
          <cell r="E17">
            <v>0</v>
          </cell>
          <cell r="H17">
            <v>0.31000000000000005</v>
          </cell>
          <cell r="K17">
            <v>2.0333852140077826</v>
          </cell>
        </row>
        <row r="18">
          <cell r="E18">
            <v>0</v>
          </cell>
          <cell r="H18">
            <v>0.25</v>
          </cell>
          <cell r="K18">
            <v>0</v>
          </cell>
        </row>
        <row r="19">
          <cell r="E19">
            <v>0</v>
          </cell>
          <cell r="H19">
            <v>1.0000000000000009E-2</v>
          </cell>
          <cell r="K19">
            <v>0.21035019455252935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1.83</v>
          </cell>
          <cell r="K22">
            <v>0.91151750972762735</v>
          </cell>
        </row>
        <row r="23">
          <cell r="E23">
            <v>0</v>
          </cell>
          <cell r="H23">
            <v>0.57000000000000028</v>
          </cell>
          <cell r="K23">
            <v>1.1919844357976666</v>
          </cell>
        </row>
        <row r="24">
          <cell r="E24">
            <v>0</v>
          </cell>
          <cell r="H24">
            <v>5.0000000000000044E-2</v>
          </cell>
          <cell r="K24">
            <v>1.8931517509727629</v>
          </cell>
        </row>
        <row r="25">
          <cell r="E25">
            <v>0</v>
          </cell>
          <cell r="H25">
            <v>2.81</v>
          </cell>
          <cell r="K25">
            <v>0.4908171206225686</v>
          </cell>
        </row>
        <row r="26">
          <cell r="E26">
            <v>0</v>
          </cell>
          <cell r="H26">
            <v>0.79</v>
          </cell>
          <cell r="K26">
            <v>0.63105058365758815</v>
          </cell>
        </row>
        <row r="27">
          <cell r="E27">
            <v>0</v>
          </cell>
          <cell r="H27">
            <v>0.27</v>
          </cell>
          <cell r="K27">
            <v>0.63105058365758815</v>
          </cell>
        </row>
        <row r="28">
          <cell r="E28">
            <v>0</v>
          </cell>
          <cell r="H28">
            <v>0.79999999999999982</v>
          </cell>
          <cell r="K28">
            <v>1.4724513618677058</v>
          </cell>
        </row>
        <row r="29">
          <cell r="E29">
            <v>0.68</v>
          </cell>
          <cell r="H29">
            <v>0.62999999999999989</v>
          </cell>
          <cell r="K29">
            <v>1.7529182879377432</v>
          </cell>
        </row>
        <row r="30">
          <cell r="E30">
            <v>2.72</v>
          </cell>
          <cell r="H30">
            <v>3.5500000000000003</v>
          </cell>
          <cell r="K30">
            <v>1.332217898832686</v>
          </cell>
        </row>
        <row r="31">
          <cell r="E31">
            <v>0</v>
          </cell>
          <cell r="H31">
            <v>1.4900000000000002</v>
          </cell>
          <cell r="K31">
            <v>3.2954863813229589</v>
          </cell>
        </row>
        <row r="32">
          <cell r="E32">
            <v>0</v>
          </cell>
          <cell r="H32">
            <v>1.0000000000000009E-2</v>
          </cell>
          <cell r="K32">
            <v>0.4908171206225686</v>
          </cell>
        </row>
        <row r="33">
          <cell r="E33">
            <v>0</v>
          </cell>
          <cell r="H33">
            <v>0.91000000000000014</v>
          </cell>
          <cell r="K33">
            <v>1.0517509727626471</v>
          </cell>
        </row>
        <row r="34">
          <cell r="E34">
            <v>0</v>
          </cell>
          <cell r="H34">
            <v>3.0000000000000027E-2</v>
          </cell>
          <cell r="K34">
            <v>0.35058365758754895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0.77128404669260775</v>
          </cell>
        </row>
        <row r="39">
          <cell r="E39">
            <v>0</v>
          </cell>
          <cell r="H39">
            <v>1.1400000000000001</v>
          </cell>
          <cell r="K39">
            <v>3.2954863813229589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0.2804669260700392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0.2804669260700392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0.14724513618677046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0.23999999999999977</v>
          </cell>
          <cell r="K50">
            <v>1.4023346303501927</v>
          </cell>
        </row>
      </sheetData>
      <sheetData sheetId="4"/>
      <sheetData sheetId="5">
        <row r="8">
          <cell r="N8">
            <v>18.143011668421043</v>
          </cell>
        </row>
        <row r="9">
          <cell r="N9">
            <v>19.178378249817811</v>
          </cell>
        </row>
        <row r="10">
          <cell r="N10">
            <v>7.4051668671202604</v>
          </cell>
        </row>
        <row r="11">
          <cell r="N11">
            <v>0.67545066852104041</v>
          </cell>
        </row>
        <row r="12">
          <cell r="N12">
            <v>3.1252369708208403</v>
          </cell>
        </row>
        <row r="13">
          <cell r="N13">
            <v>4.3568343662723796</v>
          </cell>
        </row>
        <row r="14">
          <cell r="N14">
            <v>14.095890950369681</v>
          </cell>
        </row>
        <row r="15">
          <cell r="N15">
            <v>8.8507146924422813</v>
          </cell>
        </row>
        <row r="16">
          <cell r="N16">
            <v>6.016200931804959</v>
          </cell>
        </row>
        <row r="17">
          <cell r="N17">
            <v>3.6598015085096822</v>
          </cell>
        </row>
        <row r="18">
          <cell r="N18">
            <v>5.765267058262852</v>
          </cell>
        </row>
        <row r="19">
          <cell r="N19">
            <v>0.82298040782850124</v>
          </cell>
        </row>
        <row r="20">
          <cell r="N20">
            <v>7.9050656598086606</v>
          </cell>
        </row>
        <row r="32">
          <cell r="N32">
            <v>0.58327143457068942</v>
          </cell>
        </row>
        <row r="33">
          <cell r="N33">
            <v>0.39390947424376271</v>
          </cell>
        </row>
        <row r="34">
          <cell r="N34">
            <v>7.8215731952919336</v>
          </cell>
        </row>
        <row r="35">
          <cell r="N35">
            <v>1.8837431043831316</v>
          </cell>
        </row>
        <row r="36">
          <cell r="N36">
            <v>8.4958810413282926</v>
          </cell>
        </row>
        <row r="37">
          <cell r="N37">
            <v>3.6513831469721678</v>
          </cell>
        </row>
        <row r="38">
          <cell r="N38">
            <v>1.0434485183328921</v>
          </cell>
        </row>
        <row r="39">
          <cell r="N39">
            <v>2.7103352018152007</v>
          </cell>
        </row>
        <row r="43">
          <cell r="N43">
            <v>3.1252369708208403</v>
          </cell>
        </row>
        <row r="44">
          <cell r="N44">
            <v>2.0980556900908334</v>
          </cell>
        </row>
        <row r="45">
          <cell r="N45">
            <v>2.2587786761815463</v>
          </cell>
        </row>
        <row r="46">
          <cell r="N46">
            <v>4.3462282895459898</v>
          </cell>
        </row>
        <row r="47">
          <cell r="N47">
            <v>1.6710529995714358</v>
          </cell>
        </row>
        <row r="48">
          <cell r="N48">
            <v>1.0592573407706631</v>
          </cell>
        </row>
        <row r="49">
          <cell r="N49">
            <v>2.9893707513334644</v>
          </cell>
        </row>
        <row r="50">
          <cell r="N50">
            <v>4.029981569148128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 H15 PB PAR</v>
          </cell>
        </row>
        <row r="6">
          <cell r="D6" t="str">
            <v>CN 303 PT Paris 20</v>
          </cell>
        </row>
        <row r="8">
          <cell r="D8" t="str">
            <v>IVRY</v>
          </cell>
        </row>
        <row r="12">
          <cell r="B12">
            <v>42039</v>
          </cell>
          <cell r="E12">
            <v>0.3576388888888889</v>
          </cell>
        </row>
        <row r="15">
          <cell r="E15" t="str">
            <v>sec et ensoleillé</v>
          </cell>
        </row>
        <row r="19">
          <cell r="G19">
            <v>124.2</v>
          </cell>
        </row>
        <row r="26">
          <cell r="H26">
            <v>0.61</v>
          </cell>
        </row>
        <row r="51">
          <cell r="D51">
            <v>0.34879227053140099</v>
          </cell>
        </row>
      </sheetData>
      <sheetData sheetId="1"/>
      <sheetData sheetId="2">
        <row r="27">
          <cell r="C27">
            <v>3.68</v>
          </cell>
          <cell r="D27">
            <v>3.04</v>
          </cell>
        </row>
      </sheetData>
      <sheetData sheetId="3">
        <row r="5">
          <cell r="E5">
            <v>0</v>
          </cell>
          <cell r="H5">
            <v>0.5900000000000003</v>
          </cell>
          <cell r="K5">
            <v>5.3562400000000014</v>
          </cell>
        </row>
        <row r="6">
          <cell r="E6">
            <v>0</v>
          </cell>
          <cell r="H6">
            <v>2.35</v>
          </cell>
          <cell r="K6">
            <v>1.5676800000000002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3.0000000000000027E-2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0.31000000000000005</v>
          </cell>
          <cell r="K10">
            <v>0</v>
          </cell>
        </row>
        <row r="11">
          <cell r="E11">
            <v>0</v>
          </cell>
          <cell r="H11">
            <v>0</v>
          </cell>
          <cell r="K11">
            <v>0</v>
          </cell>
        </row>
        <row r="12">
          <cell r="E12">
            <v>0</v>
          </cell>
          <cell r="H12">
            <v>3.5500000000000003</v>
          </cell>
          <cell r="K12">
            <v>0.26128000000000029</v>
          </cell>
        </row>
        <row r="13">
          <cell r="E13">
            <v>0</v>
          </cell>
          <cell r="H13">
            <v>1.67</v>
          </cell>
          <cell r="K13">
            <v>0.13064000000000014</v>
          </cell>
        </row>
        <row r="14">
          <cell r="E14">
            <v>0</v>
          </cell>
          <cell r="H14">
            <v>2.4700000000000002</v>
          </cell>
          <cell r="K14">
            <v>2.6127999999999996</v>
          </cell>
        </row>
        <row r="15">
          <cell r="E15">
            <v>0</v>
          </cell>
          <cell r="H15">
            <v>2.5600000000000009</v>
          </cell>
          <cell r="K15">
            <v>1.3063999999999998</v>
          </cell>
        </row>
        <row r="16">
          <cell r="E16">
            <v>0.46</v>
          </cell>
          <cell r="H16">
            <v>2.9499999999999997</v>
          </cell>
          <cell r="K16">
            <v>0.13064000000000014</v>
          </cell>
        </row>
        <row r="17">
          <cell r="E17">
            <v>0</v>
          </cell>
          <cell r="H17">
            <v>0.31000000000000005</v>
          </cell>
          <cell r="K17">
            <v>0.52256000000000058</v>
          </cell>
        </row>
        <row r="18">
          <cell r="E18">
            <v>0</v>
          </cell>
          <cell r="H18">
            <v>0.45000000000000018</v>
          </cell>
          <cell r="K18">
            <v>0</v>
          </cell>
        </row>
        <row r="19">
          <cell r="E19">
            <v>0</v>
          </cell>
          <cell r="H19">
            <v>0.33000000000000007</v>
          </cell>
          <cell r="K19">
            <v>0.78383999999999932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0.26128000000000029</v>
          </cell>
        </row>
        <row r="22">
          <cell r="E22">
            <v>0</v>
          </cell>
          <cell r="H22">
            <v>2.7100000000000004</v>
          </cell>
          <cell r="K22">
            <v>2.0902400000000005</v>
          </cell>
        </row>
        <row r="23">
          <cell r="E23">
            <v>0</v>
          </cell>
          <cell r="H23">
            <v>1.71</v>
          </cell>
          <cell r="K23">
            <v>4.1804800000000002</v>
          </cell>
        </row>
        <row r="24">
          <cell r="E24">
            <v>0</v>
          </cell>
          <cell r="H24">
            <v>0.19000000000000017</v>
          </cell>
          <cell r="K24">
            <v>2.0902400000000005</v>
          </cell>
        </row>
        <row r="25">
          <cell r="E25">
            <v>0</v>
          </cell>
          <cell r="H25">
            <v>4.2300000000000004</v>
          </cell>
          <cell r="K25">
            <v>0.52256000000000058</v>
          </cell>
        </row>
        <row r="26">
          <cell r="E26">
            <v>0</v>
          </cell>
          <cell r="H26">
            <v>1.17</v>
          </cell>
          <cell r="K26">
            <v>0.52256000000000058</v>
          </cell>
        </row>
        <row r="27">
          <cell r="E27">
            <v>0</v>
          </cell>
          <cell r="H27">
            <v>0.37000000000000011</v>
          </cell>
          <cell r="K27">
            <v>0.26128000000000029</v>
          </cell>
        </row>
        <row r="28">
          <cell r="E28">
            <v>0</v>
          </cell>
          <cell r="H28">
            <v>1.2999999999999998</v>
          </cell>
          <cell r="K28">
            <v>1.1757599999999997</v>
          </cell>
        </row>
        <row r="29">
          <cell r="E29">
            <v>0</v>
          </cell>
          <cell r="H29">
            <v>2.2999999999999998</v>
          </cell>
          <cell r="K29">
            <v>1.6983200000000003</v>
          </cell>
        </row>
        <row r="30">
          <cell r="E30">
            <v>0.34</v>
          </cell>
          <cell r="H30">
            <v>0.64999999999999991</v>
          </cell>
          <cell r="K30">
            <v>0.78383999999999932</v>
          </cell>
        </row>
        <row r="31">
          <cell r="E31">
            <v>0</v>
          </cell>
          <cell r="H31">
            <v>6.1899999999999995</v>
          </cell>
          <cell r="K31">
            <v>3.5272800000000002</v>
          </cell>
        </row>
        <row r="32">
          <cell r="E32">
            <v>0</v>
          </cell>
          <cell r="H32">
            <v>1.4500000000000002</v>
          </cell>
          <cell r="K32">
            <v>1.0451199999999996</v>
          </cell>
        </row>
        <row r="33">
          <cell r="E33">
            <v>0.57999999999999996</v>
          </cell>
          <cell r="H33">
            <v>0.51000000000000023</v>
          </cell>
          <cell r="K33">
            <v>0.52256000000000058</v>
          </cell>
        </row>
        <row r="34">
          <cell r="E34">
            <v>0</v>
          </cell>
          <cell r="H34">
            <v>0.13000000000000012</v>
          </cell>
          <cell r="K34">
            <v>0.52256000000000058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0.55000000000000027</v>
          </cell>
          <cell r="K37">
            <v>0</v>
          </cell>
        </row>
        <row r="38">
          <cell r="E38">
            <v>0</v>
          </cell>
          <cell r="H38">
            <v>0.25</v>
          </cell>
          <cell r="K38">
            <v>0</v>
          </cell>
        </row>
        <row r="39">
          <cell r="E39">
            <v>0</v>
          </cell>
          <cell r="H39">
            <v>0.22999999999999998</v>
          </cell>
          <cell r="K39">
            <v>0.78383999999999932</v>
          </cell>
        </row>
        <row r="40">
          <cell r="E40">
            <v>0</v>
          </cell>
          <cell r="H40">
            <v>0.17999999999999994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0.15676800000000002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8.4916000000000005E-2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</v>
          </cell>
          <cell r="K50">
            <v>0.65320000000000067</v>
          </cell>
        </row>
      </sheetData>
      <sheetData sheetId="4"/>
      <sheetData sheetId="5">
        <row r="8">
          <cell r="N8">
            <v>24.860521529116163</v>
          </cell>
        </row>
        <row r="9">
          <cell r="N9">
            <v>11.332205556006667</v>
          </cell>
        </row>
        <row r="10">
          <cell r="N10">
            <v>8.4857318962361905</v>
          </cell>
        </row>
        <row r="11">
          <cell r="N11">
            <v>2.3660860718640113</v>
          </cell>
        </row>
        <row r="12">
          <cell r="N12">
            <v>4.9399373900884544</v>
          </cell>
        </row>
        <row r="13">
          <cell r="N13">
            <v>8.6395598630708772</v>
          </cell>
        </row>
        <row r="14">
          <cell r="N14">
            <v>15.732577103998915</v>
          </cell>
        </row>
        <row r="15">
          <cell r="N15">
            <v>1.8641516941560112</v>
          </cell>
        </row>
        <row r="16">
          <cell r="N16">
            <v>12.55498887431793</v>
          </cell>
        </row>
        <row r="17">
          <cell r="N17">
            <v>3.2534096984123053</v>
          </cell>
        </row>
        <row r="18">
          <cell r="N18">
            <v>1.1900236398239539</v>
          </cell>
        </row>
        <row r="19">
          <cell r="N19">
            <v>0.44265748140657257</v>
          </cell>
        </row>
        <row r="20">
          <cell r="N20">
            <v>4.3381492015019463</v>
          </cell>
        </row>
        <row r="32">
          <cell r="N32">
            <v>0.32447973718621448</v>
          </cell>
        </row>
        <row r="33">
          <cell r="N33">
            <v>0</v>
          </cell>
        </row>
        <row r="34">
          <cell r="N34">
            <v>3.8587655470238418</v>
          </cell>
        </row>
        <row r="35">
          <cell r="N35">
            <v>1.8412961922307658</v>
          </cell>
        </row>
        <row r="36">
          <cell r="N36">
            <v>5.3076640795658445</v>
          </cell>
        </row>
        <row r="37">
          <cell r="N37">
            <v>3.9722429873740972</v>
          </cell>
        </row>
        <row r="38">
          <cell r="N38">
            <v>3.6399994223695535</v>
          </cell>
        </row>
        <row r="39">
          <cell r="N39">
            <v>0.87348948649254066</v>
          </cell>
        </row>
        <row r="43">
          <cell r="N43">
            <v>4.9399373900884544</v>
          </cell>
        </row>
        <row r="44">
          <cell r="N44">
            <v>6.2475912950961083</v>
          </cell>
        </row>
        <row r="45">
          <cell r="N45">
            <v>2.3919685679747698</v>
          </cell>
        </row>
        <row r="46">
          <cell r="N46">
            <v>5.6211112604807631</v>
          </cell>
        </row>
        <row r="47">
          <cell r="N47">
            <v>1.7896526866389937</v>
          </cell>
        </row>
        <row r="48">
          <cell r="N48">
            <v>0.66740361942795368</v>
          </cell>
        </row>
        <row r="49">
          <cell r="N49">
            <v>2.9269755073216768</v>
          </cell>
        </row>
        <row r="50">
          <cell r="N50">
            <v>4.727434030129527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ROM-H15-PB-BAN</v>
          </cell>
        </row>
        <row r="6">
          <cell r="D6" t="str">
            <v>Rosny-sous-Bois CB 277 AQ</v>
          </cell>
        </row>
        <row r="8">
          <cell r="D8" t="str">
            <v>Romainville</v>
          </cell>
        </row>
        <row r="12">
          <cell r="B12">
            <v>42046</v>
          </cell>
          <cell r="E12">
            <v>0.38541666666666669</v>
          </cell>
        </row>
        <row r="15">
          <cell r="E15" t="str">
            <v>sec et ensoleillé</v>
          </cell>
        </row>
        <row r="19">
          <cell r="G19">
            <v>127.50000000000001</v>
          </cell>
        </row>
        <row r="26">
          <cell r="H26">
            <v>0.5</v>
          </cell>
        </row>
        <row r="51">
          <cell r="D51">
            <v>0.36847058823529411</v>
          </cell>
        </row>
      </sheetData>
      <sheetData sheetId="1"/>
      <sheetData sheetId="2">
        <row r="27">
          <cell r="C27">
            <v>6.28</v>
          </cell>
          <cell r="D27">
            <v>4.8800000000000008</v>
          </cell>
        </row>
      </sheetData>
      <sheetData sheetId="3">
        <row r="5">
          <cell r="E5">
            <v>0</v>
          </cell>
          <cell r="H5">
            <v>0.15000000000000013</v>
          </cell>
          <cell r="K5">
            <v>1.0391095890410968</v>
          </cell>
        </row>
        <row r="6">
          <cell r="E6">
            <v>0</v>
          </cell>
          <cell r="H6">
            <v>0.37000000000000011</v>
          </cell>
          <cell r="K6">
            <v>2.4778767123287677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0.23979452054794542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0.22999999999999998</v>
          </cell>
          <cell r="K10">
            <v>0.559520547945206</v>
          </cell>
        </row>
        <row r="11">
          <cell r="E11">
            <v>0</v>
          </cell>
          <cell r="H11">
            <v>0.51000000000000023</v>
          </cell>
          <cell r="K11">
            <v>0</v>
          </cell>
        </row>
        <row r="12">
          <cell r="E12">
            <v>0</v>
          </cell>
          <cell r="H12">
            <v>2.13</v>
          </cell>
          <cell r="K12">
            <v>1.6785616438356179</v>
          </cell>
        </row>
        <row r="13">
          <cell r="E13">
            <v>0</v>
          </cell>
          <cell r="H13">
            <v>0.57000000000000028</v>
          </cell>
          <cell r="K13">
            <v>1.9982876712328768</v>
          </cell>
        </row>
        <row r="14">
          <cell r="E14">
            <v>0</v>
          </cell>
          <cell r="H14">
            <v>0.19000000000000017</v>
          </cell>
          <cell r="K14">
            <v>0.23979452054794542</v>
          </cell>
        </row>
        <row r="15">
          <cell r="E15">
            <v>0</v>
          </cell>
          <cell r="H15">
            <v>1.35</v>
          </cell>
          <cell r="K15">
            <v>2.6377397260273976</v>
          </cell>
        </row>
        <row r="16">
          <cell r="E16">
            <v>0</v>
          </cell>
          <cell r="H16">
            <v>2.0300000000000002</v>
          </cell>
          <cell r="K16">
            <v>0.559520547945206</v>
          </cell>
        </row>
        <row r="17">
          <cell r="E17">
            <v>0</v>
          </cell>
          <cell r="H17">
            <v>0.49000000000000021</v>
          </cell>
          <cell r="K17">
            <v>0</v>
          </cell>
        </row>
        <row r="18">
          <cell r="E18">
            <v>0</v>
          </cell>
          <cell r="H18">
            <v>0.33000000000000007</v>
          </cell>
          <cell r="K18">
            <v>1.0391095890410968</v>
          </cell>
        </row>
        <row r="19">
          <cell r="E19">
            <v>0</v>
          </cell>
          <cell r="H19">
            <v>0.05</v>
          </cell>
          <cell r="K19">
            <v>7.9931506849315145E-2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7.0000000000000062E-2</v>
          </cell>
          <cell r="K21">
            <v>0</v>
          </cell>
        </row>
        <row r="22">
          <cell r="E22">
            <v>0</v>
          </cell>
          <cell r="H22">
            <v>0.15000000000000013</v>
          </cell>
          <cell r="K22">
            <v>0.39965753424657569</v>
          </cell>
        </row>
        <row r="23">
          <cell r="E23">
            <v>0</v>
          </cell>
          <cell r="H23">
            <v>0.87000000000000011</v>
          </cell>
          <cell r="K23">
            <v>12.868972602739726</v>
          </cell>
        </row>
        <row r="24">
          <cell r="E24">
            <v>0</v>
          </cell>
          <cell r="H24">
            <v>0.21000000000000019</v>
          </cell>
          <cell r="K24">
            <v>3.7567808219178098</v>
          </cell>
        </row>
        <row r="25">
          <cell r="E25">
            <v>0</v>
          </cell>
          <cell r="H25">
            <v>3.1799999999999997</v>
          </cell>
          <cell r="K25">
            <v>1.0391095890410968</v>
          </cell>
        </row>
        <row r="26">
          <cell r="E26">
            <v>0</v>
          </cell>
          <cell r="H26">
            <v>1.08</v>
          </cell>
          <cell r="K26">
            <v>1.0391095890410968</v>
          </cell>
        </row>
        <row r="27">
          <cell r="E27">
            <v>0</v>
          </cell>
          <cell r="H27">
            <v>0.43000000000000016</v>
          </cell>
          <cell r="K27">
            <v>1.0391095890410968</v>
          </cell>
        </row>
        <row r="28">
          <cell r="E28">
            <v>0</v>
          </cell>
          <cell r="H28">
            <v>0.75999999999999979</v>
          </cell>
          <cell r="K28">
            <v>2.6377397260273976</v>
          </cell>
        </row>
        <row r="29">
          <cell r="E29">
            <v>0</v>
          </cell>
          <cell r="H29">
            <v>0.60999999999999988</v>
          </cell>
          <cell r="K29">
            <v>0.71938356164383621</v>
          </cell>
        </row>
        <row r="30">
          <cell r="E30">
            <v>0.86</v>
          </cell>
          <cell r="H30">
            <v>3.6700000000000004</v>
          </cell>
          <cell r="K30">
            <v>0.39965753424657569</v>
          </cell>
        </row>
        <row r="31">
          <cell r="E31">
            <v>0</v>
          </cell>
          <cell r="H31">
            <v>1.3900000000000001</v>
          </cell>
          <cell r="K31">
            <v>6.1547260273972606</v>
          </cell>
        </row>
        <row r="32">
          <cell r="E32">
            <v>0</v>
          </cell>
          <cell r="H32">
            <v>3.0000000000000027E-2</v>
          </cell>
          <cell r="K32">
            <v>7.9931506849315145E-2</v>
          </cell>
        </row>
        <row r="33">
          <cell r="E33">
            <v>0</v>
          </cell>
          <cell r="H33">
            <v>1.0900000000000003</v>
          </cell>
          <cell r="K33">
            <v>1.8384246575342467</v>
          </cell>
        </row>
        <row r="34">
          <cell r="E34">
            <v>0</v>
          </cell>
          <cell r="H34">
            <v>0</v>
          </cell>
          <cell r="K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3.0000000000000027E-2</v>
          </cell>
          <cell r="K38">
            <v>7.9931506849315145E-2</v>
          </cell>
        </row>
        <row r="39">
          <cell r="E39">
            <v>0</v>
          </cell>
          <cell r="H39">
            <v>0.21000000000000019</v>
          </cell>
          <cell r="K39">
            <v>0</v>
          </cell>
        </row>
        <row r="40">
          <cell r="E40">
            <v>0</v>
          </cell>
          <cell r="H40">
            <v>0.11999999999999988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0.3400000000000003</v>
          </cell>
          <cell r="K50">
            <v>1.119041095890412</v>
          </cell>
        </row>
      </sheetData>
      <sheetData sheetId="4"/>
      <sheetData sheetId="5">
        <row r="8">
          <cell r="N8">
            <v>12.599118930805151</v>
          </cell>
        </row>
        <row r="9">
          <cell r="N9">
            <v>9.7627891623808392</v>
          </cell>
        </row>
        <row r="10">
          <cell r="N10">
            <v>8.5125191559184383</v>
          </cell>
        </row>
        <row r="11">
          <cell r="N11">
            <v>2.3789863301416094</v>
          </cell>
        </row>
        <row r="12">
          <cell r="N12">
            <v>0.66155993787452638</v>
          </cell>
        </row>
        <row r="13">
          <cell r="N13">
            <v>21.898216099394372</v>
          </cell>
        </row>
        <row r="14">
          <cell r="N14">
            <v>17.020445402773866</v>
          </cell>
        </row>
        <row r="15">
          <cell r="N15">
            <v>6.0590294211868878</v>
          </cell>
        </row>
        <row r="16">
          <cell r="N16">
            <v>9.2034854221665814</v>
          </cell>
        </row>
        <row r="17">
          <cell r="N17">
            <v>3.7717683799755437</v>
          </cell>
        </row>
        <row r="18">
          <cell r="N18">
            <v>0.28828383449691414</v>
          </cell>
        </row>
        <row r="19">
          <cell r="N19">
            <v>0.14732398803024643</v>
          </cell>
        </row>
        <row r="20">
          <cell r="N20">
            <v>7.6964739348549953</v>
          </cell>
        </row>
        <row r="32">
          <cell r="N32">
            <v>0.974329406841558</v>
          </cell>
        </row>
        <row r="33">
          <cell r="N33">
            <v>0.60930158221261677</v>
          </cell>
        </row>
        <row r="34">
          <cell r="N34">
            <v>4.5501228147908348</v>
          </cell>
        </row>
        <row r="35">
          <cell r="N35">
            <v>3.099400116793237</v>
          </cell>
        </row>
        <row r="36">
          <cell r="N36">
            <v>0.52963524174259435</v>
          </cell>
        </row>
        <row r="37">
          <cell r="N37">
            <v>4.7954859076234104</v>
          </cell>
        </row>
        <row r="38">
          <cell r="N38">
            <v>3.1153198033181426</v>
          </cell>
        </row>
        <row r="39">
          <cell r="N39">
            <v>0.60171344497688595</v>
          </cell>
        </row>
        <row r="43">
          <cell r="N43">
            <v>0.66155993787452638</v>
          </cell>
        </row>
        <row r="44">
          <cell r="N44">
            <v>17.017823463710464</v>
          </cell>
        </row>
        <row r="45">
          <cell r="N45">
            <v>4.8803926356839051</v>
          </cell>
        </row>
        <row r="46">
          <cell r="N46">
            <v>5.9085151031911867</v>
          </cell>
        </row>
        <row r="47">
          <cell r="N47">
            <v>2.6538922362141526</v>
          </cell>
        </row>
        <row r="48">
          <cell r="N48">
            <v>1.8397065605974932</v>
          </cell>
        </row>
        <row r="49">
          <cell r="N49">
            <v>4.7570232721020105</v>
          </cell>
        </row>
        <row r="50">
          <cell r="N50">
            <v>1.8613082306690247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ROM-H15-PB-PAR</v>
          </cell>
        </row>
        <row r="6">
          <cell r="D6" t="str">
            <v>DC 311 GD Paris 20</v>
          </cell>
        </row>
        <row r="8">
          <cell r="D8" t="str">
            <v>Romainville</v>
          </cell>
        </row>
        <row r="12">
          <cell r="B12">
            <v>42046</v>
          </cell>
          <cell r="E12">
            <v>0.33333333333333331</v>
          </cell>
        </row>
        <row r="15">
          <cell r="E15" t="str">
            <v>sec et ensoleillé</v>
          </cell>
        </row>
        <row r="19">
          <cell r="G19">
            <v>126.3</v>
          </cell>
        </row>
        <row r="26">
          <cell r="H26">
            <v>0.5</v>
          </cell>
        </row>
        <row r="51">
          <cell r="D51">
            <v>0.4324623911322249</v>
          </cell>
        </row>
      </sheetData>
      <sheetData sheetId="1"/>
      <sheetData sheetId="2">
        <row r="27">
          <cell r="C27">
            <v>3.5</v>
          </cell>
          <cell r="D27">
            <v>3.54</v>
          </cell>
        </row>
      </sheetData>
      <sheetData sheetId="3">
        <row r="5">
          <cell r="E5">
            <v>0</v>
          </cell>
          <cell r="H5">
            <v>0.21000000000000019</v>
          </cell>
          <cell r="K5">
            <v>4.7149193548387123</v>
          </cell>
        </row>
        <row r="6">
          <cell r="E6">
            <v>0</v>
          </cell>
          <cell r="H6">
            <v>0.35000000000000009</v>
          </cell>
          <cell r="K6">
            <v>0.60008064516129089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0.35000000000000009</v>
          </cell>
          <cell r="K10">
            <v>0.42862903225806492</v>
          </cell>
        </row>
        <row r="11">
          <cell r="E11">
            <v>0</v>
          </cell>
          <cell r="H11">
            <v>1.9700000000000002</v>
          </cell>
          <cell r="K11">
            <v>1.1144354838709687</v>
          </cell>
        </row>
        <row r="12">
          <cell r="E12">
            <v>0</v>
          </cell>
          <cell r="H12">
            <v>0.77</v>
          </cell>
          <cell r="K12">
            <v>0.94298387096774283</v>
          </cell>
        </row>
        <row r="13">
          <cell r="E13">
            <v>0</v>
          </cell>
          <cell r="H13">
            <v>0.69</v>
          </cell>
          <cell r="K13">
            <v>2.4860483870967744</v>
          </cell>
        </row>
        <row r="14">
          <cell r="E14">
            <v>0</v>
          </cell>
          <cell r="H14">
            <v>1.0000000000000009E-2</v>
          </cell>
          <cell r="K14">
            <v>8.5725806451612985E-2</v>
          </cell>
        </row>
        <row r="15">
          <cell r="E15">
            <v>0</v>
          </cell>
          <cell r="H15">
            <v>1.0900000000000003</v>
          </cell>
          <cell r="K15">
            <v>1.6287903225806468</v>
          </cell>
        </row>
        <row r="16">
          <cell r="E16">
            <v>0</v>
          </cell>
          <cell r="H16">
            <v>0.1100000000000001</v>
          </cell>
          <cell r="K16">
            <v>8.5725806451612985E-2</v>
          </cell>
        </row>
        <row r="17">
          <cell r="E17">
            <v>0</v>
          </cell>
          <cell r="H17">
            <v>0.45000000000000018</v>
          </cell>
          <cell r="K17">
            <v>8.5725806451612985E-2</v>
          </cell>
        </row>
        <row r="18">
          <cell r="E18">
            <v>0</v>
          </cell>
          <cell r="H18">
            <v>0.25</v>
          </cell>
          <cell r="K18">
            <v>0.25717741935483895</v>
          </cell>
        </row>
        <row r="19">
          <cell r="E19">
            <v>0</v>
          </cell>
          <cell r="H19">
            <v>7.0000000000000062E-2</v>
          </cell>
          <cell r="K19">
            <v>0.42862903225806492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0.81</v>
          </cell>
          <cell r="K22">
            <v>0.60008064516129089</v>
          </cell>
        </row>
        <row r="23">
          <cell r="E23">
            <v>0</v>
          </cell>
          <cell r="H23">
            <v>1.4900000000000002</v>
          </cell>
          <cell r="K23">
            <v>9.8584677419354829</v>
          </cell>
        </row>
        <row r="24">
          <cell r="E24">
            <v>0</v>
          </cell>
          <cell r="H24">
            <v>3.0000000000000027E-2</v>
          </cell>
          <cell r="K24">
            <v>3.000403225806453</v>
          </cell>
        </row>
        <row r="25">
          <cell r="E25">
            <v>0</v>
          </cell>
          <cell r="H25">
            <v>3.7899999999999991</v>
          </cell>
          <cell r="K25">
            <v>0.25717741935483895</v>
          </cell>
        </row>
        <row r="26">
          <cell r="E26">
            <v>0</v>
          </cell>
          <cell r="H26">
            <v>0.71999999999999975</v>
          </cell>
          <cell r="K26">
            <v>0.77153225806451686</v>
          </cell>
        </row>
        <row r="27">
          <cell r="E27">
            <v>0</v>
          </cell>
          <cell r="H27">
            <v>0.69</v>
          </cell>
          <cell r="K27">
            <v>0</v>
          </cell>
        </row>
        <row r="28">
          <cell r="E28">
            <v>0</v>
          </cell>
          <cell r="H28">
            <v>0.60999999999999988</v>
          </cell>
          <cell r="K28">
            <v>1.8002419354838728</v>
          </cell>
        </row>
        <row r="29">
          <cell r="E29">
            <v>0</v>
          </cell>
          <cell r="H29">
            <v>0.41000000000000014</v>
          </cell>
          <cell r="K29">
            <v>1.8002419354838728</v>
          </cell>
        </row>
        <row r="30">
          <cell r="E30">
            <v>0</v>
          </cell>
          <cell r="H30">
            <v>3.03</v>
          </cell>
          <cell r="K30">
            <v>0.60008064516129089</v>
          </cell>
        </row>
        <row r="31">
          <cell r="E31">
            <v>0</v>
          </cell>
          <cell r="H31">
            <v>2.4899999999999998</v>
          </cell>
          <cell r="K31">
            <v>4.3720161290322608</v>
          </cell>
        </row>
        <row r="32">
          <cell r="E32">
            <v>0</v>
          </cell>
          <cell r="H32">
            <v>1.4E-2</v>
          </cell>
          <cell r="K32">
            <v>0.94298387096774283</v>
          </cell>
        </row>
        <row r="33">
          <cell r="E33">
            <v>0</v>
          </cell>
          <cell r="H33">
            <v>1.4900000000000002</v>
          </cell>
          <cell r="K33">
            <v>1.4573387096774209</v>
          </cell>
        </row>
        <row r="34">
          <cell r="E34">
            <v>0</v>
          </cell>
          <cell r="H34">
            <v>1.0000000000000009E-2</v>
          </cell>
          <cell r="K34">
            <v>0.60008064516129089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0.29000000000000004</v>
          </cell>
          <cell r="K38">
            <v>8.5725806451612985E-2</v>
          </cell>
        </row>
        <row r="39">
          <cell r="E39">
            <v>0</v>
          </cell>
          <cell r="H39">
            <v>7.2999999999999995E-2</v>
          </cell>
          <cell r="K39">
            <v>3.000403225806453</v>
          </cell>
        </row>
        <row r="40">
          <cell r="E40">
            <v>0</v>
          </cell>
          <cell r="H40">
            <v>0.19999999999999996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0.20000000000000018</v>
          </cell>
          <cell r="K50">
            <v>1.0287096774193558</v>
          </cell>
        </row>
      </sheetData>
      <sheetData sheetId="4"/>
      <sheetData sheetId="5">
        <row r="8">
          <cell r="N8">
            <v>17.949905289372513</v>
          </cell>
        </row>
        <row r="9">
          <cell r="N9">
            <v>11.046930974281377</v>
          </cell>
        </row>
        <row r="10">
          <cell r="N10">
            <v>4.3083549492035988</v>
          </cell>
        </row>
        <row r="11">
          <cell r="N11">
            <v>1.5807792600731088</v>
          </cell>
        </row>
        <row r="12">
          <cell r="N12">
            <v>1.7592202471774245</v>
          </cell>
        </row>
        <row r="13">
          <cell r="N13">
            <v>18.453718532993545</v>
          </cell>
        </row>
        <row r="14">
          <cell r="N14">
            <v>15.271500927851134</v>
          </cell>
        </row>
        <row r="15">
          <cell r="N15">
            <v>4.6250044687314125</v>
          </cell>
        </row>
        <row r="16">
          <cell r="N16">
            <v>9.743185554205386</v>
          </cell>
        </row>
        <row r="17">
          <cell r="N17">
            <v>5.0606854586599823</v>
          </cell>
        </row>
        <row r="18">
          <cell r="N18">
            <v>4.3730169981375733</v>
          </cell>
        </row>
        <row r="19">
          <cell r="N19">
            <v>0.2544769051512944</v>
          </cell>
        </row>
        <row r="20">
          <cell r="N20">
            <v>5.573220434161664</v>
          </cell>
        </row>
        <row r="32">
          <cell r="N32">
            <v>0.99761179748254958</v>
          </cell>
        </row>
        <row r="33">
          <cell r="N33">
            <v>3.8247399946818694</v>
          </cell>
        </row>
        <row r="34">
          <cell r="N34">
            <v>2.1241222115992775</v>
          </cell>
        </row>
        <row r="35">
          <cell r="N35">
            <v>3.9780239261182304</v>
          </cell>
        </row>
        <row r="36">
          <cell r="N36">
            <v>0.12243304439944998</v>
          </cell>
        </row>
        <row r="37">
          <cell r="N37">
            <v>3.3837671929917437</v>
          </cell>
        </row>
        <row r="38">
          <cell r="N38">
            <v>0.24371853219521616</v>
          </cell>
        </row>
        <row r="39">
          <cell r="N39">
            <v>0.6808692240166393</v>
          </cell>
        </row>
        <row r="43">
          <cell r="N43">
            <v>1.7592202471774245</v>
          </cell>
        </row>
        <row r="44">
          <cell r="N44">
            <v>14.589638093724751</v>
          </cell>
        </row>
        <row r="45">
          <cell r="N45">
            <v>3.8640804392687946</v>
          </cell>
        </row>
        <row r="46">
          <cell r="N46">
            <v>5.8214810358822708</v>
          </cell>
        </row>
        <row r="47">
          <cell r="N47">
            <v>1.9183954058643777</v>
          </cell>
        </row>
        <row r="48">
          <cell r="N48">
            <v>0.88738360961858409</v>
          </cell>
        </row>
        <row r="49">
          <cell r="N49">
            <v>3.4658141857525431</v>
          </cell>
        </row>
        <row r="50">
          <cell r="N50">
            <v>3.1784266907333594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 H15 PB BAN</v>
          </cell>
        </row>
        <row r="6">
          <cell r="D6" t="str">
            <v>DH 862 TB Saint Ouen</v>
          </cell>
        </row>
        <row r="8">
          <cell r="D8" t="str">
            <v>SAINT OUEN</v>
          </cell>
        </row>
        <row r="12">
          <cell r="B12">
            <v>42040</v>
          </cell>
          <cell r="E12">
            <v>0.3888888888888889</v>
          </cell>
        </row>
        <row r="15">
          <cell r="E15" t="str">
            <v>sec</v>
          </cell>
        </row>
        <row r="19">
          <cell r="G19">
            <v>126.6</v>
          </cell>
        </row>
        <row r="26">
          <cell r="H26">
            <v>0.45</v>
          </cell>
        </row>
        <row r="51">
          <cell r="D51">
            <v>0.40425750394944709</v>
          </cell>
        </row>
      </sheetData>
      <sheetData sheetId="1"/>
      <sheetData sheetId="2">
        <row r="27">
          <cell r="C27">
            <v>8.7199999999999989</v>
          </cell>
          <cell r="D27">
            <v>5.3</v>
          </cell>
        </row>
      </sheetData>
      <sheetData sheetId="3">
        <row r="5">
          <cell r="E5">
            <v>0</v>
          </cell>
          <cell r="H5">
            <v>0.27</v>
          </cell>
          <cell r="K5">
            <v>7.548</v>
          </cell>
        </row>
        <row r="6">
          <cell r="E6">
            <v>0</v>
          </cell>
          <cell r="H6">
            <v>0.71</v>
          </cell>
          <cell r="K6">
            <v>0.47600000000000048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0.39000000000000012</v>
          </cell>
          <cell r="K10">
            <v>6.8000000000000074E-2</v>
          </cell>
        </row>
        <row r="11">
          <cell r="E11">
            <v>0</v>
          </cell>
          <cell r="H11">
            <v>0</v>
          </cell>
          <cell r="K11">
            <v>0</v>
          </cell>
        </row>
        <row r="12">
          <cell r="E12">
            <v>0</v>
          </cell>
          <cell r="H12">
            <v>1.63</v>
          </cell>
          <cell r="K12">
            <v>0.47600000000000048</v>
          </cell>
        </row>
        <row r="13">
          <cell r="E13">
            <v>0</v>
          </cell>
          <cell r="H13">
            <v>2.9899999999999998</v>
          </cell>
          <cell r="K13">
            <v>1.156000000000001</v>
          </cell>
        </row>
        <row r="14">
          <cell r="E14">
            <v>0</v>
          </cell>
          <cell r="H14">
            <v>2.4099999999999997</v>
          </cell>
          <cell r="K14">
            <v>1.156000000000001</v>
          </cell>
        </row>
        <row r="15">
          <cell r="E15">
            <v>0</v>
          </cell>
          <cell r="H15">
            <v>0.4700000000000002</v>
          </cell>
          <cell r="K15">
            <v>3.0600000000000014</v>
          </cell>
        </row>
        <row r="16">
          <cell r="E16">
            <v>2.88</v>
          </cell>
          <cell r="H16">
            <v>2.08</v>
          </cell>
          <cell r="K16">
            <v>1.2920000000000014</v>
          </cell>
        </row>
        <row r="17">
          <cell r="E17">
            <v>0</v>
          </cell>
          <cell r="H17">
            <v>0</v>
          </cell>
          <cell r="K17">
            <v>0</v>
          </cell>
        </row>
        <row r="18">
          <cell r="E18">
            <v>0</v>
          </cell>
          <cell r="H18">
            <v>0.19000000000000017</v>
          </cell>
          <cell r="K18">
            <v>0.20400000000000018</v>
          </cell>
        </row>
        <row r="19">
          <cell r="E19">
            <v>0</v>
          </cell>
          <cell r="H19">
            <v>3.0000000000000027E-2</v>
          </cell>
          <cell r="K19">
            <v>0.3400000000000003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1.4700000000000002</v>
          </cell>
          <cell r="K22">
            <v>0.8840000000000009</v>
          </cell>
        </row>
        <row r="23">
          <cell r="E23">
            <v>0</v>
          </cell>
          <cell r="H23">
            <v>1.0000000000000009E-2</v>
          </cell>
          <cell r="K23">
            <v>0.61200000000000054</v>
          </cell>
        </row>
        <row r="24">
          <cell r="E24">
            <v>0</v>
          </cell>
          <cell r="H24">
            <v>1.0000000000000009E-2</v>
          </cell>
          <cell r="K24">
            <v>2.652000000000001</v>
          </cell>
        </row>
        <row r="25">
          <cell r="E25">
            <v>0</v>
          </cell>
          <cell r="H25">
            <v>4.91</v>
          </cell>
          <cell r="K25">
            <v>1.8360000000000001</v>
          </cell>
        </row>
        <row r="26">
          <cell r="E26">
            <v>0</v>
          </cell>
          <cell r="H26">
            <v>0.4700000000000002</v>
          </cell>
          <cell r="K26">
            <v>0.20400000000000018</v>
          </cell>
        </row>
        <row r="27">
          <cell r="E27">
            <v>0</v>
          </cell>
          <cell r="H27">
            <v>0.25</v>
          </cell>
          <cell r="K27">
            <v>0</v>
          </cell>
        </row>
        <row r="28">
          <cell r="E28">
            <v>0</v>
          </cell>
          <cell r="H28">
            <v>2.5399999999999996</v>
          </cell>
          <cell r="K28">
            <v>2.2440000000000007</v>
          </cell>
        </row>
        <row r="29">
          <cell r="E29">
            <v>0</v>
          </cell>
          <cell r="H29">
            <v>0.4700000000000002</v>
          </cell>
          <cell r="K29">
            <v>1.4280000000000013</v>
          </cell>
        </row>
        <row r="30">
          <cell r="E30">
            <v>0</v>
          </cell>
          <cell r="H30">
            <v>9.000000000000008E-2</v>
          </cell>
          <cell r="K30">
            <v>2.2440000000000007</v>
          </cell>
        </row>
        <row r="31">
          <cell r="E31">
            <v>0</v>
          </cell>
          <cell r="H31">
            <v>0.53000000000000025</v>
          </cell>
          <cell r="K31">
            <v>1.156000000000001</v>
          </cell>
        </row>
        <row r="32">
          <cell r="E32">
            <v>0</v>
          </cell>
          <cell r="H32">
            <v>0.62999999999999989</v>
          </cell>
          <cell r="K32">
            <v>0.74800000000000078</v>
          </cell>
        </row>
        <row r="33">
          <cell r="E33">
            <v>0</v>
          </cell>
          <cell r="H33">
            <v>0.93000000000000016</v>
          </cell>
          <cell r="K33">
            <v>0.74800000000000078</v>
          </cell>
        </row>
        <row r="34">
          <cell r="E34">
            <v>0</v>
          </cell>
          <cell r="H34">
            <v>1.0000000000000009E-2</v>
          </cell>
          <cell r="K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2.5999999999999999E-2</v>
          </cell>
          <cell r="K39">
            <v>1.0200000000000009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0.16320000000000001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0.12239999999999999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0.35999999999999988</v>
          </cell>
          <cell r="K50">
            <v>2.4480000000000022</v>
          </cell>
        </row>
      </sheetData>
      <sheetData sheetId="4"/>
      <sheetData sheetId="5">
        <row r="8">
          <cell r="N8">
            <v>26.595443420772167</v>
          </cell>
        </row>
        <row r="9">
          <cell r="N9">
            <v>12.431275325808979</v>
          </cell>
        </row>
        <row r="10">
          <cell r="N10">
            <v>11.835097617063614</v>
          </cell>
        </row>
        <row r="11">
          <cell r="N11">
            <v>1.1634837804217679</v>
          </cell>
        </row>
        <row r="12">
          <cell r="N12">
            <v>2.8457244876337855</v>
          </cell>
        </row>
        <row r="13">
          <cell r="N13">
            <v>4.0816836073734724</v>
          </cell>
        </row>
        <row r="14">
          <cell r="N14">
            <v>19.574788697124895</v>
          </cell>
        </row>
        <row r="15">
          <cell r="N15">
            <v>2.8813876890007237</v>
          </cell>
        </row>
        <row r="16">
          <cell r="N16">
            <v>3.6998723049778102</v>
          </cell>
        </row>
        <row r="17">
          <cell r="N17">
            <v>2.1046024700832646</v>
          </cell>
        </row>
        <row r="18">
          <cell r="N18">
            <v>1.442190987117512</v>
          </cell>
        </row>
        <row r="19">
          <cell r="N19">
            <v>0.35214644863238276</v>
          </cell>
        </row>
        <row r="20">
          <cell r="N20">
            <v>10.992303163989641</v>
          </cell>
        </row>
        <row r="32">
          <cell r="N32">
            <v>0.56480687905654892</v>
          </cell>
        </row>
        <row r="33">
          <cell r="N33">
            <v>0</v>
          </cell>
        </row>
        <row r="34">
          <cell r="N34">
            <v>2.5067443541154262</v>
          </cell>
        </row>
        <row r="35">
          <cell r="N35">
            <v>4.9827188715128026</v>
          </cell>
        </row>
        <row r="36">
          <cell r="N36">
            <v>4.3770052211242012</v>
          </cell>
        </row>
        <row r="37">
          <cell r="N37">
            <v>4.267265812978132</v>
          </cell>
        </row>
        <row r="38">
          <cell r="N38">
            <v>7.5678318040854817</v>
          </cell>
        </row>
        <row r="39">
          <cell r="N39">
            <v>0</v>
          </cell>
        </row>
        <row r="43">
          <cell r="N43">
            <v>2.8457244876337855</v>
          </cell>
        </row>
        <row r="44">
          <cell r="N44">
            <v>0.78679964124542845</v>
          </cell>
        </row>
        <row r="45">
          <cell r="N45">
            <v>3.2948839661280434</v>
          </cell>
        </row>
        <row r="46">
          <cell r="N46">
            <v>9.2680813436732112</v>
          </cell>
        </row>
        <row r="47">
          <cell r="N47">
            <v>0.8271266365509391</v>
          </cell>
        </row>
        <row r="48">
          <cell r="N48">
            <v>0.30671593587698276</v>
          </cell>
        </row>
        <row r="49">
          <cell r="N49">
            <v>6.5670233802383677</v>
          </cell>
        </row>
        <row r="50">
          <cell r="N50">
            <v>2.6058414007853923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 H15 PB PAR</v>
          </cell>
        </row>
        <row r="6">
          <cell r="D6" t="str">
            <v>AA 329 EP Paris 17</v>
          </cell>
        </row>
        <row r="8">
          <cell r="D8" t="str">
            <v>SAINT OUEN</v>
          </cell>
        </row>
        <row r="12">
          <cell r="B12">
            <v>42040</v>
          </cell>
          <cell r="E12">
            <v>0.33333333333333331</v>
          </cell>
        </row>
        <row r="15">
          <cell r="E15" t="str">
            <v>sec</v>
          </cell>
        </row>
        <row r="19">
          <cell r="G19">
            <v>129.89999999999998</v>
          </cell>
        </row>
        <row r="26">
          <cell r="H26">
            <v>0.65</v>
          </cell>
        </row>
        <row r="51">
          <cell r="D51">
            <v>0.43391839876828325</v>
          </cell>
        </row>
      </sheetData>
      <sheetData sheetId="1"/>
      <sheetData sheetId="2">
        <row r="27">
          <cell r="C27">
            <v>4.5</v>
          </cell>
          <cell r="D27">
            <v>4.6000000000000005</v>
          </cell>
        </row>
      </sheetData>
      <sheetData sheetId="3">
        <row r="5">
          <cell r="E5">
            <v>0</v>
          </cell>
          <cell r="H5">
            <v>0.1100000000000001</v>
          </cell>
          <cell r="K5">
            <v>1.6189733840304195</v>
          </cell>
        </row>
        <row r="6">
          <cell r="E6">
            <v>0</v>
          </cell>
          <cell r="H6">
            <v>0.33000000000000007</v>
          </cell>
          <cell r="K6">
            <v>2.2438403041825099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0.13000000000000012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0.33000000000000007</v>
          </cell>
          <cell r="K10">
            <v>0.25562737642585576</v>
          </cell>
        </row>
        <row r="11">
          <cell r="E11">
            <v>0</v>
          </cell>
          <cell r="H11">
            <v>0.13000000000000012</v>
          </cell>
          <cell r="K11">
            <v>0.36923954372623613</v>
          </cell>
        </row>
        <row r="12">
          <cell r="E12">
            <v>0</v>
          </cell>
          <cell r="H12">
            <v>0.79</v>
          </cell>
          <cell r="K12">
            <v>0</v>
          </cell>
        </row>
        <row r="13">
          <cell r="E13">
            <v>0</v>
          </cell>
          <cell r="H13">
            <v>0.49000000000000021</v>
          </cell>
          <cell r="K13">
            <v>0.25562737642585576</v>
          </cell>
        </row>
        <row r="14">
          <cell r="E14">
            <v>0</v>
          </cell>
          <cell r="H14">
            <v>3.3699999999999997</v>
          </cell>
          <cell r="K14">
            <v>0.65326996197718634</v>
          </cell>
        </row>
        <row r="15">
          <cell r="E15">
            <v>0</v>
          </cell>
          <cell r="H15">
            <v>1.17</v>
          </cell>
          <cell r="K15">
            <v>0.59646387832699677</v>
          </cell>
        </row>
        <row r="16">
          <cell r="E16">
            <v>0.44</v>
          </cell>
          <cell r="H16">
            <v>0.55000000000000027</v>
          </cell>
          <cell r="K16">
            <v>0</v>
          </cell>
        </row>
        <row r="17">
          <cell r="E17">
            <v>0</v>
          </cell>
          <cell r="H17">
            <v>0</v>
          </cell>
          <cell r="K17">
            <v>0.31243346007604594</v>
          </cell>
        </row>
        <row r="18">
          <cell r="E18">
            <v>0</v>
          </cell>
          <cell r="H18">
            <v>0.33000000000000007</v>
          </cell>
          <cell r="K18">
            <v>0.14201520912547544</v>
          </cell>
        </row>
        <row r="19">
          <cell r="E19">
            <v>0</v>
          </cell>
          <cell r="H19">
            <v>7.0000000000000062E-2</v>
          </cell>
          <cell r="K19">
            <v>0.1988212927756656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0.43000000000000016</v>
          </cell>
          <cell r="K22">
            <v>0.65326996197718634</v>
          </cell>
        </row>
        <row r="23">
          <cell r="E23">
            <v>0</v>
          </cell>
          <cell r="H23">
            <v>0.77</v>
          </cell>
          <cell r="K23">
            <v>2.0166159695817494</v>
          </cell>
        </row>
        <row r="24">
          <cell r="E24">
            <v>0</v>
          </cell>
          <cell r="H24">
            <v>0.25</v>
          </cell>
          <cell r="K24">
            <v>1.0509125475285175</v>
          </cell>
        </row>
        <row r="25">
          <cell r="E25">
            <v>0</v>
          </cell>
          <cell r="H25">
            <v>4.9599999999999991</v>
          </cell>
          <cell r="K25">
            <v>0.20734220532319411</v>
          </cell>
        </row>
        <row r="26">
          <cell r="E26">
            <v>0</v>
          </cell>
          <cell r="H26">
            <v>0.69</v>
          </cell>
          <cell r="K26">
            <v>0.31243346007604594</v>
          </cell>
        </row>
        <row r="27">
          <cell r="E27">
            <v>0</v>
          </cell>
          <cell r="H27">
            <v>0.4700000000000002</v>
          </cell>
          <cell r="K27">
            <v>0.36923954372623613</v>
          </cell>
        </row>
        <row r="28">
          <cell r="E28">
            <v>0</v>
          </cell>
          <cell r="H28">
            <v>0.93000000000000016</v>
          </cell>
          <cell r="K28">
            <v>0.53965779467680663</v>
          </cell>
        </row>
        <row r="29">
          <cell r="E29">
            <v>0.14000000000000001</v>
          </cell>
          <cell r="H29">
            <v>0.33000000000000007</v>
          </cell>
          <cell r="K29">
            <v>0.59646387832699677</v>
          </cell>
        </row>
        <row r="30">
          <cell r="E30">
            <v>0</v>
          </cell>
          <cell r="H30">
            <v>0.95000000000000018</v>
          </cell>
          <cell r="K30">
            <v>0.42604562737642632</v>
          </cell>
        </row>
        <row r="31">
          <cell r="E31">
            <v>0</v>
          </cell>
          <cell r="H31">
            <v>2.0100000000000002</v>
          </cell>
          <cell r="K31">
            <v>0.53965779467680663</v>
          </cell>
        </row>
        <row r="32">
          <cell r="E32">
            <v>0</v>
          </cell>
          <cell r="H32">
            <v>3.0000000000000027E-2</v>
          </cell>
          <cell r="K32">
            <v>0.59646387832699677</v>
          </cell>
        </row>
        <row r="33">
          <cell r="E33">
            <v>0</v>
          </cell>
          <cell r="H33">
            <v>0.39000000000000012</v>
          </cell>
          <cell r="K33">
            <v>0.82368821292775685</v>
          </cell>
        </row>
        <row r="34">
          <cell r="E34">
            <v>0</v>
          </cell>
          <cell r="H34">
            <v>0.15000000000000013</v>
          </cell>
          <cell r="K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1.0000000000000009E-2</v>
          </cell>
          <cell r="K38">
            <v>2.8403041825095086E-2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0.29999999999999982</v>
          </cell>
          <cell r="K50">
            <v>0.34083650190114101</v>
          </cell>
        </row>
      </sheetData>
      <sheetData sheetId="4"/>
      <sheetData sheetId="5">
        <row r="8">
          <cell r="N8">
            <v>22.251207764540148</v>
          </cell>
        </row>
        <row r="9">
          <cell r="N9">
            <v>13.6497256098463</v>
          </cell>
        </row>
        <row r="10">
          <cell r="N10">
            <v>6.3059383271859737</v>
          </cell>
        </row>
        <row r="11">
          <cell r="N11">
            <v>1.9159231207820651</v>
          </cell>
        </row>
        <row r="12">
          <cell r="N12">
            <v>2.2238826442260007</v>
          </cell>
        </row>
        <row r="13">
          <cell r="N13">
            <v>8.6332316395432187</v>
          </cell>
        </row>
        <row r="14">
          <cell r="N14">
            <v>22.108924162522865</v>
          </cell>
        </row>
        <row r="15">
          <cell r="N15">
            <v>2.8848871580175075</v>
          </cell>
        </row>
        <row r="16">
          <cell r="N16">
            <v>6.5123370324336269</v>
          </cell>
        </row>
        <row r="17">
          <cell r="N17">
            <v>2.9685222075587769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10.545420333343507</v>
          </cell>
        </row>
        <row r="32">
          <cell r="N32">
            <v>1.2166455745396896</v>
          </cell>
        </row>
        <row r="33">
          <cell r="N33">
            <v>1.0025094589117451</v>
          </cell>
        </row>
        <row r="34">
          <cell r="N34">
            <v>1.5863776868095438</v>
          </cell>
        </row>
        <row r="35">
          <cell r="N35">
            <v>1.5120826166018932</v>
          </cell>
        </row>
        <row r="36">
          <cell r="N36">
            <v>8.3321102729834262</v>
          </cell>
        </row>
        <row r="37">
          <cell r="N37">
            <v>3.6208341071106007</v>
          </cell>
        </row>
        <row r="38">
          <cell r="N38">
            <v>2.0310764946882176</v>
          </cell>
        </row>
        <row r="39">
          <cell r="N39">
            <v>0.65402772538715492</v>
          </cell>
        </row>
        <row r="43">
          <cell r="N43">
            <v>2.2238826442260007</v>
          </cell>
        </row>
        <row r="44">
          <cell r="N44">
            <v>5.9129594946214041</v>
          </cell>
        </row>
        <row r="45">
          <cell r="N45">
            <v>2.7202721449218155</v>
          </cell>
        </row>
        <row r="46">
          <cell r="N46">
            <v>12.221282249113257</v>
          </cell>
        </row>
        <row r="47">
          <cell r="N47">
            <v>2.1189147802730073</v>
          </cell>
        </row>
        <row r="48">
          <cell r="N48">
            <v>1.7736434608227836</v>
          </cell>
        </row>
        <row r="49">
          <cell r="N49">
            <v>3.4739249106315739</v>
          </cell>
        </row>
        <row r="50">
          <cell r="N50">
            <v>2.5211587616822433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A14 PB BAN</v>
          </cell>
        </row>
      </sheetData>
      <sheetData sheetId="1"/>
      <sheetData sheetId="2">
        <row r="27">
          <cell r="C27">
            <v>9.08</v>
          </cell>
        </row>
      </sheetData>
      <sheetData sheetId="3">
        <row r="5">
          <cell r="E5">
            <v>0</v>
          </cell>
        </row>
      </sheetData>
      <sheetData sheetId="4"/>
      <sheetData sheetId="5">
        <row r="8">
          <cell r="N8">
            <v>53.787605391864929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F8" sqref="F8"/>
    </sheetView>
  </sheetViews>
  <sheetFormatPr baseColWidth="10" defaultRowHeight="15" x14ac:dyDescent="0.25"/>
  <cols>
    <col min="1" max="1" width="18.28515625" customWidth="1"/>
    <col min="2" max="2" width="30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'[1]F 1 _ Echant et Séchage'!D5</f>
        <v>ISS H15 PB BAN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'[1]F 1 _ Echant et Séchage'!D6</f>
        <v>Meudon CP 196 MB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'[1]F 1 _ Echant et Séchage'!D8</f>
        <v>ISSEANE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'[1]F 1 _ Echant et Séchage'!E15</f>
        <v>sec ensoleillé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'[1]F 1 _ Echant et Séchage'!B12</f>
        <v>42047</v>
      </c>
      <c r="D9" s="485" t="s">
        <v>6</v>
      </c>
      <c r="E9" s="485"/>
      <c r="F9" s="485"/>
      <c r="G9" s="6">
        <f>'[1]F 1 _ Echant et Séchage'!G19</f>
        <v>127.6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'[1]F 1 _ Echant et Séchage'!E12</f>
        <v>0.39930555555555558</v>
      </c>
      <c r="D10" s="485" t="s">
        <v>9</v>
      </c>
      <c r="E10" s="485"/>
      <c r="F10" s="485"/>
      <c r="G10" s="236">
        <f>'[1]F 1 _ Echant et Séchage'!H26</f>
        <v>0.55000000000000004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0.23199999999999996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33">
        <f>'[1]F 1 _ Echant et Séchage'!D51</f>
        <v>0.35940438871473346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'[1]F 4 TRI _ Granulo'!K5</f>
        <v>4.8820224719101146</v>
      </c>
      <c r="D18" s="20">
        <f>'[1]F 4 TRI _ Granulo'!H5</f>
        <v>0.1100000000000001</v>
      </c>
      <c r="E18" s="20">
        <f>'[1]F 4 TRI _ Granulo'!E5</f>
        <v>0</v>
      </c>
      <c r="F18" s="20">
        <f>SUM(C18:E18)</f>
        <v>4.9920224719101149</v>
      </c>
      <c r="G18" s="21">
        <f t="shared" ref="G18:G64" si="0">F18/$F$64</f>
        <v>5.9213931033876128E-2</v>
      </c>
      <c r="H18" s="21">
        <f>G18*J18/I18</f>
        <v>0.12598003177743325</v>
      </c>
      <c r="I18" s="492">
        <f>G18+G19+G20+G21+G22</f>
        <v>0.10543595588669426</v>
      </c>
      <c r="J18" s="492">
        <f>'[1]Calcul sous cat &gt;20'!N8/100</f>
        <v>0.22431925800519348</v>
      </c>
    </row>
    <row r="19" spans="1:10" s="1" customFormat="1" ht="15" customHeight="1" x14ac:dyDescent="0.2">
      <c r="A19" s="498"/>
      <c r="B19" s="18" t="s">
        <v>27</v>
      </c>
      <c r="C19" s="19">
        <f>'[1]F 4 TRI _ Granulo'!K6</f>
        <v>2.9292134831460679</v>
      </c>
      <c r="D19" s="20">
        <f>'[1]F 4 TRI _ Granulo'!H6</f>
        <v>0.73</v>
      </c>
      <c r="E19" s="20">
        <f>'[1]F 4 TRI _ Granulo'!E6</f>
        <v>0</v>
      </c>
      <c r="F19" s="20">
        <f>SUM(C19:E19)</f>
        <v>3.6592134831460679</v>
      </c>
      <c r="G19" s="21">
        <f t="shared" si="0"/>
        <v>4.3404535145518536E-2</v>
      </c>
      <c r="H19" s="21">
        <f>G19*J18/I18</f>
        <v>9.2344902988941158E-2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'[1]F 4 TRI _ Granulo'!K7</f>
        <v>0</v>
      </c>
      <c r="D20" s="20">
        <f>'[1]F 4 TRI _ Granulo'!H7</f>
        <v>0</v>
      </c>
      <c r="E20" s="20">
        <f>'[1]F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'[1]F 4 TRI _ Granulo'!K8</f>
        <v>8.87640449438203E-2</v>
      </c>
      <c r="D21" s="20">
        <f>'[1]F 4 TRI _ Granulo'!H8</f>
        <v>5.0000000000000044E-2</v>
      </c>
      <c r="E21" s="20">
        <f>'[1]F 4 TRI _ Granulo'!E8</f>
        <v>0</v>
      </c>
      <c r="F21" s="20">
        <f t="shared" si="1"/>
        <v>0.13876404494382033</v>
      </c>
      <c r="G21" s="21">
        <f t="shared" si="0"/>
        <v>1.6459790863363351E-3</v>
      </c>
      <c r="H21" s="21">
        <f>G21*J18/I18</f>
        <v>3.5018870387613968E-3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'[1]F 4 TRI _ Granulo'!K9</f>
        <v>8.87640449438203E-2</v>
      </c>
      <c r="D22" s="20">
        <f>'[1]F 4 TRI _ Granulo'!H9</f>
        <v>1.0000000000000009E-2</v>
      </c>
      <c r="E22" s="20">
        <f>'[1]F 4 TRI _ Granulo'!E9</f>
        <v>0</v>
      </c>
      <c r="F22" s="20">
        <f t="shared" si="1"/>
        <v>9.8764044943820309E-2</v>
      </c>
      <c r="G22" s="21">
        <f t="shared" si="0"/>
        <v>1.1715106209632703E-3</v>
      </c>
      <c r="H22" s="21">
        <f>G22*J18/I18</f>
        <v>2.4924362000577072E-3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'[1]F 4 TRI _ Granulo'!K10</f>
        <v>1.8640449438202262</v>
      </c>
      <c r="D23" s="20">
        <f>'[1]F 4 TRI _ Granulo'!H10</f>
        <v>0.85000000000000009</v>
      </c>
      <c r="E23" s="20">
        <f>'[1]F 4 TRI _ Granulo'!E10</f>
        <v>0</v>
      </c>
      <c r="F23" s="20">
        <f t="shared" si="1"/>
        <v>2.7140449438202263</v>
      </c>
      <c r="G23" s="21">
        <f t="shared" si="0"/>
        <v>3.219321848619771E-2</v>
      </c>
      <c r="H23" s="21">
        <f>'[1]Calcul sous cat &gt;20'!N32/100</f>
        <v>2.8571806380437752E-2</v>
      </c>
      <c r="I23" s="496">
        <f>G23+G24+G25+G26+G27</f>
        <v>0.12683901511541915</v>
      </c>
      <c r="J23" s="496">
        <f>'[1]Calcul sous cat &gt;20'!N9/100</f>
        <v>0.11056373219639665</v>
      </c>
    </row>
    <row r="24" spans="1:10" s="1" customFormat="1" ht="15" customHeight="1" x14ac:dyDescent="0.2">
      <c r="A24" s="494"/>
      <c r="B24" s="18" t="s">
        <v>33</v>
      </c>
      <c r="C24" s="19">
        <f>'[1]F 4 TRI _ Granulo'!K11</f>
        <v>0</v>
      </c>
      <c r="D24" s="20">
        <f>'[1]F 4 TRI _ Granulo'!H11</f>
        <v>2.7500000000000004</v>
      </c>
      <c r="E24" s="20">
        <f>'[1]F 4 TRI _ Granulo'!E11</f>
        <v>0</v>
      </c>
      <c r="F24" s="20">
        <f t="shared" si="1"/>
        <v>2.7500000000000004</v>
      </c>
      <c r="G24" s="21">
        <f t="shared" si="0"/>
        <v>3.2619706994398201E-2</v>
      </c>
      <c r="H24" s="21">
        <f>'[1]Calcul sous cat &gt;20'!N33/100</f>
        <v>2.8000597553017679E-2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'[1]F 4 TRI _ Granulo'!K12</f>
        <v>1.5089887640449451</v>
      </c>
      <c r="D25" s="20">
        <f>'[1]F 4 TRI _ Granulo'!H12</f>
        <v>0.4700000000000002</v>
      </c>
      <c r="E25" s="20">
        <f>'[1]F 4 TRI _ Granulo'!E12</f>
        <v>0</v>
      </c>
      <c r="F25" s="20">
        <f t="shared" si="1"/>
        <v>1.9789887640449453</v>
      </c>
      <c r="G25" s="21">
        <f t="shared" si="0"/>
        <v>2.3474194046673579E-2</v>
      </c>
      <c r="H25" s="21">
        <f>'[1]Calcul sous cat &gt;20'!N34/100</f>
        <v>2.015013379780595E-2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'[1]F 4 TRI _ Granulo'!K13</f>
        <v>0.62134831460674211</v>
      </c>
      <c r="D26" s="20">
        <f>'[1]F 4 TRI _ Granulo'!H13</f>
        <v>0.71</v>
      </c>
      <c r="E26" s="20">
        <f>'[1]F 4 TRI _ Granulo'!E13</f>
        <v>0</v>
      </c>
      <c r="F26" s="20">
        <f t="shared" si="1"/>
        <v>1.3313483146067422</v>
      </c>
      <c r="G26" s="21">
        <f t="shared" si="0"/>
        <v>1.5792069792711926E-2</v>
      </c>
      <c r="H26" s="21">
        <f>'[1]Calcul sous cat &gt;20'!N35/100</f>
        <v>1.3691156367742287E-2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'[1]F 4 TRI _ Granulo'!K14</f>
        <v>8.87640449438203E-2</v>
      </c>
      <c r="D27" s="20">
        <f>'[1]F 4 TRI _ Granulo'!H14</f>
        <v>1.83</v>
      </c>
      <c r="E27" s="20">
        <f>'[1]F 4 TRI _ Granulo'!E14</f>
        <v>0</v>
      </c>
      <c r="F27" s="20">
        <f t="shared" si="1"/>
        <v>1.9187640449438204</v>
      </c>
      <c r="G27" s="21">
        <f t="shared" si="0"/>
        <v>2.2759825795437713E-2</v>
      </c>
      <c r="H27" s="21">
        <f>'[1]Calcul sous cat &gt;20'!N36/100</f>
        <v>2.0150038097392978E-2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'[1]F 4 TRI _ Granulo'!K15</f>
        <v>1.6865168539325857</v>
      </c>
      <c r="D28" s="20">
        <f>'[1]F 4 TRI _ Granulo'!H15</f>
        <v>0.89000000000000012</v>
      </c>
      <c r="E28" s="20">
        <f>'[1]F 4 TRI _ Granulo'!E15</f>
        <v>0</v>
      </c>
      <c r="F28" s="20">
        <f t="shared" si="1"/>
        <v>2.5765168539325858</v>
      </c>
      <c r="G28" s="21">
        <f t="shared" si="0"/>
        <v>3.0561899942330766E-2</v>
      </c>
      <c r="H28" s="21">
        <f>'[1]Calcul sous cat &gt;20'!N37/100</f>
        <v>2.6527055846922783E-2</v>
      </c>
      <c r="I28" s="496">
        <f>G28+G29+G30</f>
        <v>5.2848590048983554E-2</v>
      </c>
      <c r="J28" s="496">
        <f>'[1]Calcul sous cat &gt;20'!N10/100</f>
        <v>4.6072624061064799E-2</v>
      </c>
    </row>
    <row r="29" spans="1:10" s="1" customFormat="1" ht="15" customHeight="1" x14ac:dyDescent="0.2">
      <c r="A29" s="494"/>
      <c r="B29" s="18" t="s">
        <v>39</v>
      </c>
      <c r="C29" s="19">
        <f>'[1]F 4 TRI _ Granulo'!K16</f>
        <v>0</v>
      </c>
      <c r="D29" s="20">
        <f>'[1]F 4 TRI _ Granulo'!H16</f>
        <v>0.99000000000000021</v>
      </c>
      <c r="E29" s="20">
        <f>'[1]F 4 TRI _ Granulo'!E16</f>
        <v>0</v>
      </c>
      <c r="F29" s="20">
        <f t="shared" si="1"/>
        <v>0.99000000000000021</v>
      </c>
      <c r="G29" s="21">
        <f t="shared" si="0"/>
        <v>1.1743094517983353E-2</v>
      </c>
      <c r="H29" s="21">
        <f>'[1]Calcul sous cat &gt;20'!N38/100</f>
        <v>1.0199839963038122E-2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'[1]F 4 TRI _ Granulo'!K17</f>
        <v>0.79887640449438269</v>
      </c>
      <c r="D30" s="20">
        <f>'[1]F 4 TRI _ Granulo'!H17</f>
        <v>9.000000000000008E-2</v>
      </c>
      <c r="E30" s="20">
        <f>'[1]F 4 TRI _ Granulo'!E17</f>
        <v>0</v>
      </c>
      <c r="F30" s="20">
        <f t="shared" si="1"/>
        <v>0.88887640449438277</v>
      </c>
      <c r="G30" s="21">
        <f t="shared" si="0"/>
        <v>1.0543595588669432E-2</v>
      </c>
      <c r="H30" s="21">
        <f>'[1]Calcul sous cat &gt;20'!N39/100</f>
        <v>9.3457282511038992E-3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'[1]F 4 TRI _ Granulo'!K18</f>
        <v>0.79887640449438269</v>
      </c>
      <c r="D31" s="20">
        <f>'[1]F 4 TRI _ Granulo'!H18</f>
        <v>0.25</v>
      </c>
      <c r="E31" s="20">
        <f>'[1]F 4 TRI _ Granulo'!E18</f>
        <v>0</v>
      </c>
      <c r="F31" s="20">
        <f t="shared" si="1"/>
        <v>1.0488764044943828</v>
      </c>
      <c r="G31" s="21">
        <f t="shared" si="0"/>
        <v>1.2441469450161691E-2</v>
      </c>
      <c r="H31" s="243">
        <f>G31*J31/I31</f>
        <v>1.3652860352453911E-2</v>
      </c>
      <c r="I31" s="503">
        <f>G31+G32+G33+G34</f>
        <v>5.5624763682051229E-2</v>
      </c>
      <c r="J31" s="503">
        <f>'[1]Calcul sous cat &gt;20'!N11/100</f>
        <v>6.1040790537762853E-2</v>
      </c>
    </row>
    <row r="32" spans="1:10" s="1" customFormat="1" ht="15" customHeight="1" x14ac:dyDescent="0.2">
      <c r="A32" s="501"/>
      <c r="B32" s="18" t="s">
        <v>43</v>
      </c>
      <c r="C32" s="19">
        <f>'[1]F 4 TRI _ Granulo'!K19</f>
        <v>1.5089887640449451</v>
      </c>
      <c r="D32" s="20">
        <f>'[1]F 4 TRI _ Granulo'!H19</f>
        <v>9.000000000000008E-2</v>
      </c>
      <c r="E32" s="20">
        <f>'[1]F 4 TRI _ Granulo'!E19</f>
        <v>0</v>
      </c>
      <c r="F32" s="20">
        <f t="shared" si="1"/>
        <v>1.5989887640449452</v>
      </c>
      <c r="G32" s="21">
        <f t="shared" si="0"/>
        <v>1.8966743625629463E-2</v>
      </c>
      <c r="H32" s="243">
        <f>G32*J31/I31</f>
        <v>2.0813482129166748E-2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'[1]F 4 TRI _ Granulo'!K20</f>
        <v>2.041573033707865</v>
      </c>
      <c r="D33" s="20">
        <f>'[1]F 4 TRI _ Granulo'!H20</f>
        <v>0</v>
      </c>
      <c r="E33" s="20">
        <f>'[1]F 4 TRI _ Granulo'!E20</f>
        <v>0</v>
      </c>
      <c r="F33" s="20">
        <f t="shared" si="1"/>
        <v>2.041573033707865</v>
      </c>
      <c r="G33" s="21">
        <f t="shared" si="0"/>
        <v>2.421655060626007E-2</v>
      </c>
      <c r="H33" s="243">
        <f>G33*J31/I31</f>
        <v>2.6574448056142189E-2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'[1]F 4 TRI _ Granulo'!K21</f>
        <v>0</v>
      </c>
      <c r="D34" s="20">
        <f>'[1]F 4 TRI _ Granulo'!H21</f>
        <v>0</v>
      </c>
      <c r="E34" s="20">
        <f>'[1]F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'[1]F 4 TRI _ Granulo'!K22</f>
        <v>3.9943820224719118</v>
      </c>
      <c r="D35" s="20">
        <f>'[1]F 4 TRI _ Granulo'!H22</f>
        <v>1.5900000000000003</v>
      </c>
      <c r="E35" s="20">
        <f>'[1]F 4 TRI _ Granulo'!E22</f>
        <v>0</v>
      </c>
      <c r="F35" s="20">
        <f t="shared" si="1"/>
        <v>5.5843820224719121</v>
      </c>
      <c r="G35" s="21">
        <f t="shared" si="0"/>
        <v>6.6240329206479487E-2</v>
      </c>
      <c r="H35" s="21">
        <f>'[1]Calcul sous cat &gt;20'!N43/100</f>
        <v>5.7702396022015191E-2</v>
      </c>
      <c r="I35" s="238">
        <f>G35</f>
        <v>6.6240329206479487E-2</v>
      </c>
      <c r="J35" s="238">
        <f>'[1]Calcul sous cat &gt;20'!N12/100</f>
        <v>5.7702396022015191E-2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'[1]F 4 TRI _ Granulo'!K23</f>
        <v>3.4617977528089896</v>
      </c>
      <c r="D36" s="20">
        <f>'[1]F 4 TRI _ Granulo'!H23</f>
        <v>2.0100000000000002</v>
      </c>
      <c r="E36" s="20">
        <f>'[1]F 4 TRI _ Granulo'!E23</f>
        <v>0</v>
      </c>
      <c r="F36" s="20">
        <f t="shared" si="1"/>
        <v>5.4717977528089898</v>
      </c>
      <c r="G36" s="21">
        <f t="shared" si="0"/>
        <v>6.4904887065176636E-2</v>
      </c>
      <c r="H36" s="21">
        <f>'[1]Calcul sous cat &gt;20'!N44/100</f>
        <v>5.837223138793602E-2</v>
      </c>
      <c r="I36" s="496">
        <f>G36+G37</f>
        <v>0.10774699049050576</v>
      </c>
      <c r="J36" s="496">
        <f>'[1]Calcul sous cat &gt;20'!N13/100</f>
        <v>9.6463323630130604E-2</v>
      </c>
    </row>
    <row r="37" spans="1:10" s="1" customFormat="1" ht="15" customHeight="1" x14ac:dyDescent="0.2">
      <c r="A37" s="495"/>
      <c r="B37" s="18" t="s">
        <v>49</v>
      </c>
      <c r="C37" s="19">
        <f>'[1]F 4 TRI _ Granulo'!K24</f>
        <v>3.4617977528089896</v>
      </c>
      <c r="D37" s="20">
        <f>'[1]F 4 TRI _ Granulo'!H24</f>
        <v>0.15000000000000013</v>
      </c>
      <c r="E37" s="20">
        <f>'[1]F 4 TRI _ Granulo'!E24</f>
        <v>0</v>
      </c>
      <c r="F37" s="20">
        <f t="shared" si="1"/>
        <v>3.6117977528089895</v>
      </c>
      <c r="G37" s="21">
        <f t="shared" si="0"/>
        <v>4.2842103425329119E-2</v>
      </c>
      <c r="H37" s="21">
        <f>'[1]Calcul sous cat &gt;20'!N45/100</f>
        <v>3.8091092242194584E-2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'[1]F 4 TRI _ Granulo'!K25</f>
        <v>0.97640449438202337</v>
      </c>
      <c r="D38" s="20">
        <f>'[1]F 4 TRI _ Granulo'!H25</f>
        <v>4.4499999999999993</v>
      </c>
      <c r="E38" s="20">
        <f>'[1]F 4 TRI _ Granulo'!E25</f>
        <v>0</v>
      </c>
      <c r="F38" s="20">
        <f t="shared" si="1"/>
        <v>5.4264044943820231</v>
      </c>
      <c r="G38" s="21">
        <f t="shared" si="0"/>
        <v>6.4366445323573482E-2</v>
      </c>
      <c r="H38" s="21">
        <f>'[1]Calcul sous cat &gt;20'!N46/100</f>
        <v>6.4261573534877214E-2</v>
      </c>
      <c r="I38" s="496">
        <f>G38+G39+G40+G41+G42</f>
        <v>0.19723360894708916</v>
      </c>
      <c r="J38" s="496">
        <f>'[1]Calcul sous cat &gt;20'!N14/100</f>
        <v>0.19384013215421228</v>
      </c>
    </row>
    <row r="39" spans="1:10" s="1" customFormat="1" ht="15" customHeight="1" x14ac:dyDescent="0.2">
      <c r="A39" s="494"/>
      <c r="B39" s="18" t="s">
        <v>52</v>
      </c>
      <c r="C39" s="19">
        <f>'[1]F 4 TRI _ Granulo'!K26</f>
        <v>0.79887640449438269</v>
      </c>
      <c r="D39" s="20">
        <f>'[1]F 4 TRI _ Granulo'!H26</f>
        <v>0.90000000000000036</v>
      </c>
      <c r="E39" s="20">
        <f>'[1]F 4 TRI _ Granulo'!E26</f>
        <v>0</v>
      </c>
      <c r="F39" s="20">
        <f t="shared" si="1"/>
        <v>1.6988764044943832</v>
      </c>
      <c r="G39" s="21">
        <f t="shared" si="0"/>
        <v>2.0151582012473995E-2</v>
      </c>
      <c r="H39" s="21">
        <f>'[1]Calcul sous cat &gt;20'!N47/100</f>
        <v>1.7985251440335723E-2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'[1]F 4 TRI _ Granulo'!K27</f>
        <v>0.44382022471910149</v>
      </c>
      <c r="D40" s="20">
        <f>'[1]F 4 TRI _ Granulo'!H27</f>
        <v>0.27</v>
      </c>
      <c r="E40" s="20">
        <f>'[1]F 4 TRI _ Granulo'!E27</f>
        <v>0</v>
      </c>
      <c r="F40" s="20">
        <f t="shared" si="1"/>
        <v>0.71382022471910145</v>
      </c>
      <c r="G40" s="21">
        <f t="shared" si="0"/>
        <v>8.4671296643682066E-3</v>
      </c>
      <c r="H40" s="21">
        <f>'[1]Calcul sous cat &gt;20'!N48/100</f>
        <v>7.5558460330739678E-3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'[1]F 4 TRI _ Granulo'!K28</f>
        <v>3.4617977528089896</v>
      </c>
      <c r="D41" s="20">
        <f>'[1]F 4 TRI _ Granulo'!H28</f>
        <v>0.87999999999999989</v>
      </c>
      <c r="E41" s="20">
        <f>'[1]F 4 TRI _ Granulo'!E28</f>
        <v>0</v>
      </c>
      <c r="F41" s="20">
        <f t="shared" si="1"/>
        <v>4.3417977528089899</v>
      </c>
      <c r="G41" s="21">
        <f t="shared" si="0"/>
        <v>5.1501152918387555E-2</v>
      </c>
      <c r="H41" s="21">
        <f>'[1]Calcul sous cat &gt;20'!N49/100</f>
        <v>5.1394590848208438E-2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'[1]F 4 TRI _ Granulo'!K29</f>
        <v>3.8168539325842712</v>
      </c>
      <c r="D42" s="20">
        <f>'[1]F 4 TRI _ Granulo'!H29</f>
        <v>0.62999999999999989</v>
      </c>
      <c r="E42" s="20">
        <f>'[1]F 4 TRI _ Granulo'!E29</f>
        <v>0</v>
      </c>
      <c r="F42" s="20">
        <f t="shared" si="1"/>
        <v>4.4468539325842711</v>
      </c>
      <c r="G42" s="21">
        <f t="shared" si="0"/>
        <v>5.274729902828592E-2</v>
      </c>
      <c r="H42" s="21">
        <f>'[1]Calcul sous cat &gt;20'!N50/100</f>
        <v>5.2642870297716901E-2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'[1]F 4 TRI _ Granulo'!K30</f>
        <v>0.79887640449438269</v>
      </c>
      <c r="D43" s="20">
        <f>'[1]F 4 TRI _ Granulo'!H30</f>
        <v>1.29</v>
      </c>
      <c r="E43" s="20">
        <f>'[1]F 4 TRI _ Granulo'!E30</f>
        <v>0.6</v>
      </c>
      <c r="F43" s="20">
        <f t="shared" si="1"/>
        <v>2.6888764044943829</v>
      </c>
      <c r="G43" s="21">
        <f t="shared" si="0"/>
        <v>3.1894676530457342E-2</v>
      </c>
      <c r="H43" s="21">
        <f>J43</f>
        <v>2.8372681426248443E-2</v>
      </c>
      <c r="I43" s="238">
        <f>G43</f>
        <v>3.1894676530457342E-2</v>
      </c>
      <c r="J43" s="238">
        <f>'[1]Calcul sous cat &gt;20'!N15/100</f>
        <v>2.8372681426248443E-2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'[1]F 4 TRI _ Granulo'!K31</f>
        <v>3.4617977528089896</v>
      </c>
      <c r="D44" s="20">
        <f>'[1]F 4 TRI _ Granulo'!H31</f>
        <v>3.4499999999999997</v>
      </c>
      <c r="E44" s="20">
        <f>'[1]F 4 TRI _ Granulo'!E31</f>
        <v>0</v>
      </c>
      <c r="F44" s="20">
        <f t="shared" si="1"/>
        <v>6.9117977528089893</v>
      </c>
      <c r="G44" s="21">
        <f t="shared" si="0"/>
        <v>8.1985751818606956E-2</v>
      </c>
      <c r="H44" s="21">
        <f>G44*J44/I44</f>
        <v>7.1342468416261462E-2</v>
      </c>
      <c r="I44" s="496">
        <f>G44+G45</f>
        <v>9.3774160740586615E-2</v>
      </c>
      <c r="J44" s="496">
        <f>'[1]Calcul sous cat &gt;20'!N16/100</f>
        <v>8.160052146254014E-2</v>
      </c>
    </row>
    <row r="45" spans="1:10" s="1" customFormat="1" ht="15" customHeight="1" x14ac:dyDescent="0.2">
      <c r="A45" s="495"/>
      <c r="B45" s="18" t="s">
        <v>59</v>
      </c>
      <c r="C45" s="19">
        <f>'[1]F 4 TRI _ Granulo'!K32</f>
        <v>0.44382022471910149</v>
      </c>
      <c r="D45" s="20">
        <f>'[1]F 4 TRI _ Granulo'!H32</f>
        <v>0.55000000000000027</v>
      </c>
      <c r="E45" s="20">
        <f>'[1]F 4 TRI _ Granulo'!E32</f>
        <v>0</v>
      </c>
      <c r="F45" s="20">
        <f t="shared" si="1"/>
        <v>0.9938202247191017</v>
      </c>
      <c r="G45" s="21">
        <f t="shared" si="0"/>
        <v>1.1788408921979661E-2</v>
      </c>
      <c r="H45" s="21">
        <f>G45*J44/I44</f>
        <v>1.025805304627868E-2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'[1]F 4 TRI _ Granulo'!K33</f>
        <v>2.7516853932584273</v>
      </c>
      <c r="D46" s="20">
        <f>'[1]F 4 TRI _ Granulo'!H33</f>
        <v>0.25</v>
      </c>
      <c r="E46" s="20">
        <f>'[1]F 4 TRI _ Granulo'!E33</f>
        <v>0</v>
      </c>
      <c r="F46" s="20">
        <f t="shared" si="1"/>
        <v>3.0016853932584273</v>
      </c>
      <c r="G46" s="21">
        <f t="shared" si="0"/>
        <v>3.5605126551801751E-2</v>
      </c>
      <c r="H46" s="21">
        <f t="shared" ref="H46:H51" si="2">G46*$J$46/$I$46</f>
        <v>3.1989533131117048E-2</v>
      </c>
      <c r="I46" s="496">
        <f>G46+G47+G50+G51+G48+G49</f>
        <v>4.8477082839928326E-2</v>
      </c>
      <c r="J46" s="496">
        <f>'[1]Calcul sous cat &gt;20'!N17/100</f>
        <v>4.3554381006105959E-2</v>
      </c>
    </row>
    <row r="47" spans="1:10" s="1" customFormat="1" ht="15" customHeight="1" x14ac:dyDescent="0.2">
      <c r="A47" s="494"/>
      <c r="B47" s="18" t="s">
        <v>62</v>
      </c>
      <c r="C47" s="19">
        <f>'[1]F 4 TRI _ Granulo'!K34</f>
        <v>0.79887640449438269</v>
      </c>
      <c r="D47" s="20">
        <f>'[1]F 4 TRI _ Granulo'!H34</f>
        <v>1.0000000000000009E-2</v>
      </c>
      <c r="E47" s="20">
        <f>'[1]F 4 TRI _ Granulo'!E34</f>
        <v>0</v>
      </c>
      <c r="F47" s="20">
        <f t="shared" si="1"/>
        <v>0.80887640449438269</v>
      </c>
      <c r="G47" s="21">
        <f t="shared" si="0"/>
        <v>9.5946586579233016E-3</v>
      </c>
      <c r="H47" s="21">
        <f t="shared" si="2"/>
        <v>8.6203499536182601E-3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'[1]F 4 TRI _ Granulo'!K35</f>
        <v>0</v>
      </c>
      <c r="D48" s="20">
        <f>'[1]F 4 TRI _ Granulo'!H35</f>
        <v>0</v>
      </c>
      <c r="E48" s="20">
        <f>'[1]F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'[1]F 4 TRI _ Granulo'!K36</f>
        <v>0</v>
      </c>
      <c r="D49" s="20">
        <f>'[1]F 4 TRI _ Granulo'!H36</f>
        <v>0</v>
      </c>
      <c r="E49" s="20">
        <f>'[1]F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'[1]F 4 TRI _ Granulo'!K37</f>
        <v>0</v>
      </c>
      <c r="D50" s="20">
        <f>'[1]F 4 TRI _ Granulo'!H37</f>
        <v>0</v>
      </c>
      <c r="E50" s="20">
        <f>'[1]F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'[1]F 4 TRI _ Granulo'!K38</f>
        <v>0.26629213483146091</v>
      </c>
      <c r="D51" s="20">
        <f>'[1]F 4 TRI _ Granulo'!H38</f>
        <v>1.0000000000000009E-2</v>
      </c>
      <c r="E51" s="20">
        <f>'[1]F 4 TRI _ Granulo'!E38</f>
        <v>0</v>
      </c>
      <c r="F51" s="20">
        <f t="shared" si="1"/>
        <v>0.27629213483146092</v>
      </c>
      <c r="G51" s="21">
        <f t="shared" si="0"/>
        <v>3.2772976302032782E-3</v>
      </c>
      <c r="H51" s="21">
        <f t="shared" si="2"/>
        <v>2.9444979213706494E-3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'[1]F 4 TRI _ Granulo'!K39</f>
        <v>0</v>
      </c>
      <c r="D52" s="20">
        <f>'[1]F 4 TRI _ Granulo'!H39</f>
        <v>2.1000000000000001E-2</v>
      </c>
      <c r="E52" s="20">
        <f>'[1]F 4 TRI _ Granulo'!E39</f>
        <v>0</v>
      </c>
      <c r="F52" s="20">
        <f t="shared" si="1"/>
        <v>2.1000000000000001E-2</v>
      </c>
      <c r="G52" s="21">
        <f t="shared" si="0"/>
        <v>2.4909594432085899E-4</v>
      </c>
      <c r="H52" s="21">
        <f>J52</f>
        <v>2.4748924606106642E-4</v>
      </c>
      <c r="I52" s="241">
        <f>G52</f>
        <v>2.4909594432085899E-4</v>
      </c>
      <c r="J52" s="241">
        <f>'[1]Calcul sous cat &gt;20'!N18/100</f>
        <v>2.4748924606106642E-4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'[1]F 4 TRI _ Granulo'!K40</f>
        <v>8.8764044943820217E-2</v>
      </c>
      <c r="D53" s="20">
        <f>'[1]F 4 TRI _ Granulo'!H40</f>
        <v>1.6E-2</v>
      </c>
      <c r="E53" s="20">
        <f>'[1]F 4 TRI _ Granulo'!E40</f>
        <v>0</v>
      </c>
      <c r="F53" s="20">
        <f t="shared" si="1"/>
        <v>0.10476404494382022</v>
      </c>
      <c r="G53" s="21">
        <f t="shared" si="0"/>
        <v>1.2426808907692289E-3</v>
      </c>
      <c r="H53" s="243">
        <f>G53*J53/I53</f>
        <v>1.1041687714576358E-3</v>
      </c>
      <c r="I53" s="496">
        <f>SUM(G53:G62)</f>
        <v>1.2426808907692289E-3</v>
      </c>
      <c r="J53" s="496">
        <f>'[1]Calcul sous cat &gt;20'!N19/100</f>
        <v>1.1041687714576358E-3</v>
      </c>
    </row>
    <row r="54" spans="1:10" s="1" customFormat="1" ht="15" customHeight="1" x14ac:dyDescent="0.2">
      <c r="A54" s="494"/>
      <c r="B54" s="18" t="s">
        <v>70</v>
      </c>
      <c r="C54" s="19">
        <f>'[1]F 4 TRI _ Granulo'!K41</f>
        <v>0</v>
      </c>
      <c r="D54" s="20">
        <f>'[1]F 4 TRI _ Granulo'!H41</f>
        <v>0</v>
      </c>
      <c r="E54" s="20">
        <f>'[1]F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'[1]F 4 TRI _ Granulo'!K42</f>
        <v>0</v>
      </c>
      <c r="D55" s="20">
        <f>'[1]F 4 TRI _ Granulo'!H42</f>
        <v>0</v>
      </c>
      <c r="E55" s="20">
        <f>'[1]F 4 TRI _ Granulo'!E42</f>
        <v>0</v>
      </c>
      <c r="F55" s="20">
        <f>SUM(C55:E55)</f>
        <v>0</v>
      </c>
      <c r="G55" s="21">
        <f t="shared" si="0"/>
        <v>0</v>
      </c>
      <c r="H55" s="175">
        <f>G55*J53/I53</f>
        <v>0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'[1]F 4 TRI _ Granulo'!K43</f>
        <v>0</v>
      </c>
      <c r="D56" s="20">
        <f>'[1]F 4 TRI _ Granulo'!H43</f>
        <v>0</v>
      </c>
      <c r="E56" s="20">
        <f>'[1]F 4 TRI _ Granulo'!E43</f>
        <v>0</v>
      </c>
      <c r="F56" s="20">
        <f t="shared" si="1"/>
        <v>0</v>
      </c>
      <c r="G56" s="21">
        <f>F56/$F$64</f>
        <v>0</v>
      </c>
      <c r="H56" s="175">
        <f>G56*J53/I53</f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'[1]F 4 TRI _ Granulo'!K44</f>
        <v>0</v>
      </c>
      <c r="D57" s="20">
        <f>'[1]F 4 TRI _ Granulo'!H44</f>
        <v>0</v>
      </c>
      <c r="E57" s="20">
        <f>'[1]F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'[1]F 4 TRI _ Granulo'!K45</f>
        <v>0</v>
      </c>
      <c r="D58" s="20">
        <f>'[1]F 4 TRI _ Granulo'!H45</f>
        <v>0</v>
      </c>
      <c r="E58" s="20">
        <f>'[1]F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'[1]F 4 TRI _ Granulo'!K46</f>
        <v>0</v>
      </c>
      <c r="D59" s="20">
        <f>'[1]F 4 TRI _ Granulo'!H46</f>
        <v>0</v>
      </c>
      <c r="E59" s="20">
        <f>'[1]F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96"/>
      <c r="J59" s="496"/>
    </row>
    <row r="60" spans="1:10" s="1" customFormat="1" ht="12.75" x14ac:dyDescent="0.2">
      <c r="A60" s="494"/>
      <c r="B60" s="18" t="s">
        <v>125</v>
      </c>
      <c r="C60" s="19">
        <f>'[1]F 4 TRI _ Granulo'!K47</f>
        <v>0</v>
      </c>
      <c r="D60" s="20">
        <f>'[1]F 4 TRI _ Granulo'!H47</f>
        <v>0</v>
      </c>
      <c r="E60" s="20">
        <f>'[1]F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96"/>
      <c r="J60" s="496"/>
    </row>
    <row r="61" spans="1:10" s="1" customFormat="1" ht="12.75" x14ac:dyDescent="0.2">
      <c r="A61" s="494"/>
      <c r="B61" s="18" t="s">
        <v>126</v>
      </c>
      <c r="C61" s="19">
        <f>'[1]F 4 TRI _ Granulo'!K48</f>
        <v>0</v>
      </c>
      <c r="D61" s="20">
        <f>'[1]F 4 TRI _ Granulo'!H48</f>
        <v>0</v>
      </c>
      <c r="E61" s="20">
        <f>'[1]F 4 TRI _ Granulo'!E48</f>
        <v>0</v>
      </c>
      <c r="F61" s="20">
        <f t="shared" si="1"/>
        <v>0</v>
      </c>
      <c r="G61" s="21">
        <f t="shared" si="3"/>
        <v>0</v>
      </c>
      <c r="H61" s="175">
        <f>G61*J53/I53</f>
        <v>0</v>
      </c>
      <c r="I61" s="496"/>
      <c r="J61" s="496"/>
    </row>
    <row r="62" spans="1:10" x14ac:dyDescent="0.25">
      <c r="A62" s="506"/>
      <c r="B62" s="18" t="s">
        <v>73</v>
      </c>
      <c r="C62" s="19">
        <f>'[1]F 4 TRI _ Granulo'!K49</f>
        <v>0</v>
      </c>
      <c r="D62" s="20">
        <f>'[1]F 4 TRI _ Granulo'!H49</f>
        <v>0</v>
      </c>
      <c r="E62" s="20">
        <f>'[1]F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96"/>
      <c r="J62" s="496"/>
    </row>
    <row r="63" spans="1:10" x14ac:dyDescent="0.25">
      <c r="A63" s="22" t="s">
        <v>74</v>
      </c>
      <c r="B63" s="23">
        <f>'[1]F 3 _ Criblage et Tri'!C27+'[1]F 3 _ Criblage et Tri'!D27</f>
        <v>7.7</v>
      </c>
      <c r="C63" s="19">
        <f>'[1]F 4 TRI _ Granulo'!K50</f>
        <v>1.7752808988764059</v>
      </c>
      <c r="D63" s="20">
        <f>'[1]F 4 TRI _ Granulo'!H50</f>
        <v>0</v>
      </c>
      <c r="E63" s="20">
        <f>'[1]F 4 TRI _ Granulo'!E50</f>
        <v>0</v>
      </c>
      <c r="F63" s="19">
        <f>SUM(B63:E63)</f>
        <v>9.4752808988764059</v>
      </c>
      <c r="G63" s="21">
        <f t="shared" si="0"/>
        <v>0.11239304967671503</v>
      </c>
      <c r="H63" s="21">
        <f>J63</f>
        <v>5.5118501480810947E-2</v>
      </c>
      <c r="I63" s="24">
        <f>G63</f>
        <v>0.11239304967671503</v>
      </c>
      <c r="J63" s="24">
        <f>'[1]Calcul sous cat &gt;20'!N20/100</f>
        <v>5.5118501480810947E-2</v>
      </c>
    </row>
    <row r="64" spans="1:10" x14ac:dyDescent="0.25">
      <c r="A64" s="25" t="s">
        <v>25</v>
      </c>
      <c r="B64" s="90">
        <f>B63</f>
        <v>7.7</v>
      </c>
      <c r="C64" s="19">
        <f>SUM(C18:C63)</f>
        <v>49.70786516853935</v>
      </c>
      <c r="D64" s="19">
        <f>SUM(D18:D63)</f>
        <v>26.297000000000001</v>
      </c>
      <c r="E64" s="19">
        <f>SUM(E18:E63)</f>
        <v>0.6</v>
      </c>
      <c r="F64" s="19">
        <f>SUM(B64:E64)</f>
        <v>84.304865168539351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</v>
      </c>
    </row>
    <row r="65" spans="1:10" ht="26.25" x14ac:dyDescent="0.25">
      <c r="A65" s="26" t="s">
        <v>75</v>
      </c>
      <c r="B65" s="244">
        <f>B64/$F$64</f>
        <v>9.133517958431496E-2</v>
      </c>
      <c r="C65" s="244">
        <f>C64/$F$64</f>
        <v>0.58962036258720196</v>
      </c>
      <c r="D65" s="244">
        <f>D64/$F$64</f>
        <v>0.31192743084788704</v>
      </c>
      <c r="E65" s="244">
        <f>E64/$F$64</f>
        <v>7.1170269805959701E-3</v>
      </c>
      <c r="F65" s="244">
        <f>F64/$F$64</f>
        <v>1</v>
      </c>
      <c r="G65" s="1"/>
      <c r="H65" s="1"/>
      <c r="I65" s="1"/>
      <c r="J65" s="1"/>
    </row>
  </sheetData>
  <mergeCells count="39">
    <mergeCell ref="A53:A62"/>
    <mergeCell ref="A44:A45"/>
    <mergeCell ref="I44:I45"/>
    <mergeCell ref="J44:J45"/>
    <mergeCell ref="A46:A51"/>
    <mergeCell ref="I46:I51"/>
    <mergeCell ref="J46:J51"/>
    <mergeCell ref="I53:I62"/>
    <mergeCell ref="J53:J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I18:I22"/>
    <mergeCell ref="J18:J22"/>
    <mergeCell ref="A23:A27"/>
    <mergeCell ref="I23:I27"/>
    <mergeCell ref="J23:J27"/>
    <mergeCell ref="A18:A22"/>
    <mergeCell ref="B11:C11"/>
    <mergeCell ref="D11:F11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8" sqref="I18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'[12]F 1 _ Echant et Séchage'!D5</f>
        <v>ISS H15 PC BAN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'[12]F 1 _ Echant et Séchage'!D6</f>
        <v>Meudon CP 196 MB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'[12]F 1 _ Echant et Séchage'!D8</f>
        <v>ISSEANE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'[12]F 1 _ Echant et Séchage'!E15</f>
        <v>sec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'[12]F 1 _ Echant et Séchage'!B12</f>
        <v>42047</v>
      </c>
      <c r="C9" s="1"/>
      <c r="D9" s="485" t="s">
        <v>6</v>
      </c>
      <c r="E9" s="485"/>
      <c r="F9" s="485"/>
      <c r="G9" s="6">
        <f>'[12]F 1 _ Echant et Séchage'!G19</f>
        <v>128.1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'[12]F 1 _ Echant et Séchage'!E12</f>
        <v>0.39930555555555558</v>
      </c>
      <c r="C10" s="1"/>
      <c r="D10" s="485" t="s">
        <v>9</v>
      </c>
      <c r="E10" s="485"/>
      <c r="F10" s="485"/>
      <c r="G10" s="236">
        <f>'[12]F 1 _ Echant et Séchage'!H26</f>
        <v>0.61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0.21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'[12]F 1 _ Echant et Séchage'!D51</f>
        <v>0.4366198282591725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'[12]F 4 TRI _ Granulo'!K5</f>
        <v>32.207567567567565</v>
      </c>
      <c r="D18" s="20">
        <f>'[12]F 4 TRI _ Granulo'!H5</f>
        <v>19.98</v>
      </c>
      <c r="E18" s="20">
        <f>'[12]F 4 TRI _ Granulo'!E5</f>
        <v>2.9</v>
      </c>
      <c r="F18" s="20">
        <f>SUM(C18:E18)</f>
        <v>55.087567567567568</v>
      </c>
      <c r="G18" s="21">
        <f>F18/$F$21</f>
        <v>0.76335717763379651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'[12]F 4 TRI _ Granulo'!K6</f>
        <v>3.7383783783783784</v>
      </c>
      <c r="D19" s="20">
        <f>'[12]F 4 TRI _ Granulo'!H6</f>
        <v>2.96</v>
      </c>
      <c r="E19" s="20">
        <f>'[12]F 4 TRI _ Granulo'!E6</f>
        <v>2.8</v>
      </c>
      <c r="F19" s="20">
        <f>SUM(C19:E19)</f>
        <v>9.4983783783783782</v>
      </c>
      <c r="G19" s="21">
        <f>F19/$F$21</f>
        <v>0.13162053855660835</v>
      </c>
      <c r="H19" s="98"/>
      <c r="I19" s="100"/>
      <c r="J19" s="100"/>
    </row>
    <row r="20" spans="1:10" x14ac:dyDescent="0.25">
      <c r="A20" s="22" t="s">
        <v>74</v>
      </c>
      <c r="B20" s="23">
        <f>'[12]F 3 _ Criblage et Tri'!C27+'[12]F 3 _ Criblage et Tri'!D27</f>
        <v>6.66</v>
      </c>
      <c r="C20" s="19">
        <f>'[12]F 4 TRI _ Granulo'!K7</f>
        <v>0.71891891891891946</v>
      </c>
      <c r="D20" s="20">
        <f>'[12]F 4 TRI _ Granulo'!H7</f>
        <v>0.20000000000000018</v>
      </c>
      <c r="E20" s="20">
        <f>'[12]F 4 TRI _ Granulo'!E7</f>
        <v>0</v>
      </c>
      <c r="F20" s="19">
        <f>SUM(B20:E20)</f>
        <v>7.5789189189189194</v>
      </c>
      <c r="G20" s="21">
        <f>F20/$F$21</f>
        <v>0.10502228380959515</v>
      </c>
      <c r="H20" s="98"/>
      <c r="I20" s="101"/>
      <c r="J20" s="101"/>
    </row>
    <row r="21" spans="1:10" x14ac:dyDescent="0.25">
      <c r="A21" s="25" t="s">
        <v>25</v>
      </c>
      <c r="B21" s="90">
        <f>B20</f>
        <v>6.66</v>
      </c>
      <c r="C21" s="19">
        <f>SUM(C18:C20)</f>
        <v>36.66486486486486</v>
      </c>
      <c r="D21" s="19">
        <f>SUM(D18:D20)</f>
        <v>23.14</v>
      </c>
      <c r="E21" s="19">
        <f>SUM(E18:E20)</f>
        <v>5.6999999999999993</v>
      </c>
      <c r="F21" s="19">
        <f>SUM(B21:E21)</f>
        <v>72.164864864864867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9.2288678326654425E-2</v>
      </c>
      <c r="C22" s="244">
        <f>C21/$F$21</f>
        <v>0.50807085876933444</v>
      </c>
      <c r="D22" s="244">
        <f>D21/$F$21</f>
        <v>0.32065465712894647</v>
      </c>
      <c r="E22" s="244">
        <f>E21/$F$21</f>
        <v>7.8985805775064588E-2</v>
      </c>
      <c r="F22" s="244">
        <f>F21/$F$21</f>
        <v>1</v>
      </c>
      <c r="G22" s="1"/>
      <c r="H22" s="1"/>
      <c r="I22" s="1"/>
      <c r="J22" s="1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'[13]F 1 _ Echant et Séchage'!D5</f>
        <v>ISS H15 PC PAR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'[13]F 1 _ Echant et Séchage'!D6</f>
        <v>AV 687 AZ paris 16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'[13]F 1 _ Echant et Séchage'!D8</f>
        <v>ISSEANE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'[13]F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'[13]F 1 _ Echant et Séchage'!B12</f>
        <v>42047</v>
      </c>
      <c r="C9" s="1"/>
      <c r="D9" s="485" t="s">
        <v>6</v>
      </c>
      <c r="E9" s="485"/>
      <c r="F9" s="485"/>
      <c r="G9" s="6">
        <f>'[13]F 1 _ Echant et Séchage'!G19</f>
        <v>125.60000000000001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'[13]F 1 _ Echant et Séchage'!E12</f>
        <v>0.33333333333333331</v>
      </c>
      <c r="C10" s="1"/>
      <c r="D10" s="485" t="s">
        <v>9</v>
      </c>
      <c r="E10" s="485"/>
      <c r="F10" s="485"/>
      <c r="G10" s="236">
        <f>'[13]F 1 _ Echant et Séchage'!H26</f>
        <v>0.60000000000000009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0.20933333333333334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'[13]F 1 _ Echant et Séchage'!D51</f>
        <v>0.40509554140127368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'[13]F 4 TRI _ Granulo'!K5</f>
        <v>36.29904761904762</v>
      </c>
      <c r="D18" s="20">
        <f>'[13]F 4 TRI _ Granulo'!H5</f>
        <v>25.379999999999995</v>
      </c>
      <c r="E18" s="20">
        <f>'[13]F 4 TRI _ Granulo'!E5</f>
        <v>0</v>
      </c>
      <c r="F18" s="20">
        <f>SUM(C18:E18)</f>
        <v>61.679047619047616</v>
      </c>
      <c r="G18" s="21">
        <f>F18/$F$21</f>
        <v>0.82390782565920606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'[13]F 4 TRI _ Granulo'!K6</f>
        <v>3.1841269841269839</v>
      </c>
      <c r="D19" s="20">
        <f>'[13]F 4 TRI _ Granulo'!H6</f>
        <v>5.54</v>
      </c>
      <c r="E19" s="20">
        <f>'[13]F 4 TRI _ Granulo'!E6</f>
        <v>0</v>
      </c>
      <c r="F19" s="20">
        <f>SUM(C19:E19)</f>
        <v>8.7241269841269844</v>
      </c>
      <c r="G19" s="21">
        <f>F19/$F$21</f>
        <v>0.11653676202430731</v>
      </c>
      <c r="H19" s="98"/>
      <c r="I19" s="100"/>
      <c r="J19" s="100"/>
    </row>
    <row r="20" spans="1:10" x14ac:dyDescent="0.25">
      <c r="A20" s="22" t="s">
        <v>74</v>
      </c>
      <c r="B20" s="23">
        <f>'[13]F 3 _ Criblage et Tri'!C27+'[13]F 3 _ Criblage et Tri'!D27</f>
        <v>4.0199999999999996</v>
      </c>
      <c r="C20" s="19">
        <f>'[13]F 4 TRI _ Granulo'!K7</f>
        <v>0.3184126984126987</v>
      </c>
      <c r="D20" s="20">
        <f>'[13]F 4 TRI _ Granulo'!H7</f>
        <v>0.12000000000000011</v>
      </c>
      <c r="E20" s="20">
        <f>'[13]F 4 TRI _ Granulo'!E7</f>
        <v>0</v>
      </c>
      <c r="F20" s="19">
        <f>SUM(B20:E20)</f>
        <v>4.4584126984126984</v>
      </c>
      <c r="G20" s="21">
        <f>F20/$F$21</f>
        <v>5.9555412316486728E-2</v>
      </c>
      <c r="H20" s="98"/>
      <c r="I20" s="101"/>
      <c r="J20" s="101"/>
    </row>
    <row r="21" spans="1:10" x14ac:dyDescent="0.25">
      <c r="A21" s="25" t="s">
        <v>25</v>
      </c>
      <c r="B21" s="90">
        <f>B20</f>
        <v>4.0199999999999996</v>
      </c>
      <c r="C21" s="19">
        <f>SUM(C18:C20)</f>
        <v>39.801587301587304</v>
      </c>
      <c r="D21" s="19">
        <f>SUM(D18:D20)</f>
        <v>31.039999999999996</v>
      </c>
      <c r="E21" s="19">
        <f>SUM(E18:E20)</f>
        <v>0</v>
      </c>
      <c r="F21" s="19">
        <f>SUM(B21:E21)</f>
        <v>74.861587301587292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5.3699101834496679E-2</v>
      </c>
      <c r="C22" s="244">
        <f>C21/$F$21</f>
        <v>0.53166902728421561</v>
      </c>
      <c r="D22" s="244">
        <f>D21/$F$21</f>
        <v>0.41463187088128778</v>
      </c>
      <c r="E22" s="244">
        <f>E21/$F$21</f>
        <v>0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'[14]F 1 _ Echant et Séchage'!D5</f>
        <v>IVR H15 PC BAN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'[14]F 1 _ Echant et Séchage'!D6</f>
        <v>Vitry-sur-seine CX 441 TJ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'[14]F 1 _ Echant et Séchage'!D8</f>
        <v>IVRY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'[14]F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'[14]F 1 _ Echant et Séchage'!B12</f>
        <v>42039</v>
      </c>
      <c r="C9" s="1"/>
      <c r="D9" s="485" t="s">
        <v>6</v>
      </c>
      <c r="E9" s="485"/>
      <c r="F9" s="485"/>
      <c r="G9" s="6">
        <f>'[14]F 1 _ Echant et Séchage'!G19</f>
        <v>127.39999999999999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'[14]F 1 _ Echant et Séchage'!E12</f>
        <v>0.32291666666666669</v>
      </c>
      <c r="C10" s="1"/>
      <c r="D10" s="485" t="s">
        <v>9</v>
      </c>
      <c r="E10" s="485"/>
      <c r="F10" s="485"/>
      <c r="G10" s="236">
        <f>'[14]F 1 _ Echant et Séchage'!H26</f>
        <v>0.60000000000000009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0.21233333333333329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'[14]F 1 _ Echant et Séchage'!D51</f>
        <v>0.43814756671899524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'[14]F 4 TRI _ Granulo'!K5</f>
        <v>20.746835443037973</v>
      </c>
      <c r="D18" s="20">
        <f>'[14]F 4 TRI _ Granulo'!H5</f>
        <v>27.84</v>
      </c>
      <c r="E18" s="20">
        <f>'[14]F 4 TRI _ Granulo'!E5</f>
        <v>0.18</v>
      </c>
      <c r="F18" s="20">
        <f>SUM(C18:E18)</f>
        <v>48.766835443037969</v>
      </c>
      <c r="G18" s="21">
        <f>F18/$F$21</f>
        <v>0.66877174222487601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'[14]F 4 TRI _ Granulo'!K6</f>
        <v>10.78835443037975</v>
      </c>
      <c r="D19" s="20">
        <f>'[14]F 4 TRI _ Granulo'!H6</f>
        <v>5.44</v>
      </c>
      <c r="E19" s="20">
        <f>'[14]F 4 TRI _ Granulo'!E6</f>
        <v>0</v>
      </c>
      <c r="F19" s="20">
        <f>SUM(C19:E19)</f>
        <v>16.228354430379749</v>
      </c>
      <c r="G19" s="21">
        <f>F19/$F$21</f>
        <v>0.22255011561135141</v>
      </c>
      <c r="H19" s="98"/>
      <c r="I19" s="100"/>
      <c r="J19" s="100"/>
    </row>
    <row r="20" spans="1:10" x14ac:dyDescent="0.25">
      <c r="A20" s="22" t="s">
        <v>74</v>
      </c>
      <c r="B20" s="23">
        <f>'[14]F 3 _ Criblage et Tri'!C27+'[14]F 3 _ Criblage et Tri'!D27</f>
        <v>6.54</v>
      </c>
      <c r="C20" s="19">
        <f>'[14]F 4 TRI _ Granulo'!K7</f>
        <v>1.2448101265822797</v>
      </c>
      <c r="D20" s="20">
        <f>'[14]F 4 TRI _ Granulo'!H7</f>
        <v>0.14000000000000012</v>
      </c>
      <c r="E20" s="20">
        <f>'[14]F 4 TRI _ Granulo'!E7</f>
        <v>0</v>
      </c>
      <c r="F20" s="19">
        <f>SUM(B20:E20)</f>
        <v>7.9248101265822797</v>
      </c>
      <c r="G20" s="21">
        <f>F20/$F$21</f>
        <v>0.10867814216377232</v>
      </c>
      <c r="H20" s="98"/>
      <c r="I20" s="101"/>
      <c r="J20" s="101"/>
    </row>
    <row r="21" spans="1:10" x14ac:dyDescent="0.25">
      <c r="A21" s="25" t="s">
        <v>25</v>
      </c>
      <c r="B21" s="90">
        <f>B20</f>
        <v>6.54</v>
      </c>
      <c r="C21" s="19">
        <f>SUM(C18:C20)</f>
        <v>32.78</v>
      </c>
      <c r="D21" s="19">
        <f>SUM(D18:D20)</f>
        <v>33.42</v>
      </c>
      <c r="E21" s="19">
        <f>SUM(E18:E20)</f>
        <v>0.18</v>
      </c>
      <c r="F21" s="19">
        <f>SUM(B21:E21)</f>
        <v>72.920000000000016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8.9687328579264924E-2</v>
      </c>
      <c r="C22" s="244">
        <f>C21/$F$21</f>
        <v>0.44953373560065818</v>
      </c>
      <c r="D22" s="244">
        <f>D21/$F$21</f>
        <v>0.45831047723532631</v>
      </c>
      <c r="E22" s="244">
        <f>E21/$F$21</f>
        <v>2.4684585847504106E-3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'[15]F 1 _ Echant et Séchage'!D5</f>
        <v>IVR H15 PC PAR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'[15]F 1 _ Echant et Séchage'!D6</f>
        <v>CN 303 PT Paris 20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'[15]F 1 _ Echant et Séchage'!D8</f>
        <v>IVRY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'[15]F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'[15]F 1 _ Echant et Séchage'!B12</f>
        <v>42039</v>
      </c>
      <c r="C9" s="1"/>
      <c r="D9" s="485" t="s">
        <v>6</v>
      </c>
      <c r="E9" s="485"/>
      <c r="F9" s="485"/>
      <c r="G9" s="6">
        <f>'[15]F 1 _ Echant et Séchage'!G19</f>
        <v>125.60000000000002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'[15]F 1 _ Echant et Séchage'!E12</f>
        <v>0.3576388888888889</v>
      </c>
      <c r="C10" s="1"/>
      <c r="D10" s="485" t="s">
        <v>9</v>
      </c>
      <c r="E10" s="485"/>
      <c r="F10" s="485"/>
      <c r="G10" s="236">
        <f>'[15]F 1 _ Echant et Séchage'!H26</f>
        <v>0.69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0.18202898550724642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'[15]F 1 _ Echant et Séchage'!D51</f>
        <v>0.39775477707006385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'[15]F 4 TRI _ Granulo'!K5</f>
        <v>30.650495049504951</v>
      </c>
      <c r="D18" s="20">
        <f>'[15]F 4 TRI _ Granulo'!H5</f>
        <v>27.359999999999996</v>
      </c>
      <c r="E18" s="20">
        <f>'[15]F 4 TRI _ Granulo'!E5</f>
        <v>0.72</v>
      </c>
      <c r="F18" s="20">
        <f>SUM(C18:E18)</f>
        <v>58.730495049504945</v>
      </c>
      <c r="G18" s="21">
        <f>F18/$F$21</f>
        <v>0.77645164668307243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'[15]F 4 TRI _ Granulo'!K6</f>
        <v>4.9281188118811894</v>
      </c>
      <c r="D19" s="20">
        <f>'[15]F 4 TRI _ Granulo'!H6</f>
        <v>3.4400000000000004</v>
      </c>
      <c r="E19" s="20">
        <f>'[15]F 4 TRI _ Granulo'!E6</f>
        <v>0</v>
      </c>
      <c r="F19" s="20">
        <f>SUM(C19:E19)</f>
        <v>8.3681188118811889</v>
      </c>
      <c r="G19" s="21">
        <f>F19/$F$21</f>
        <v>0.11063144667260068</v>
      </c>
      <c r="H19" s="98"/>
      <c r="I19" s="100"/>
      <c r="J19" s="100"/>
    </row>
    <row r="20" spans="1:10" x14ac:dyDescent="0.25">
      <c r="A20" s="22" t="s">
        <v>74</v>
      </c>
      <c r="B20" s="23">
        <f>'[15]F 3 _ Criblage et Tri'!C27+'[15]F 3 _ Criblage et Tri'!D27</f>
        <v>7.6399999999999988</v>
      </c>
      <c r="C20" s="19">
        <f>'[15]F 4 TRI _ Granulo'!K7</f>
        <v>0.60099009900990097</v>
      </c>
      <c r="D20" s="20">
        <f>'[15]F 4 TRI _ Granulo'!H7</f>
        <v>0.29999999999999982</v>
      </c>
      <c r="E20" s="20">
        <f>'[15]F 4 TRI _ Granulo'!E7</f>
        <v>0</v>
      </c>
      <c r="F20" s="19">
        <f>SUM(B20:E20)</f>
        <v>8.5409900990098997</v>
      </c>
      <c r="G20" s="21">
        <f>F20/$F$21</f>
        <v>0.11291690664432692</v>
      </c>
      <c r="H20" s="98"/>
      <c r="I20" s="101"/>
      <c r="J20" s="101"/>
    </row>
    <row r="21" spans="1:10" x14ac:dyDescent="0.25">
      <c r="A21" s="25" t="s">
        <v>25</v>
      </c>
      <c r="B21" s="90">
        <f>B20</f>
        <v>7.6399999999999988</v>
      </c>
      <c r="C21" s="19">
        <f>SUM(C18:C20)</f>
        <v>36.179603960396037</v>
      </c>
      <c r="D21" s="19">
        <f>SUM(D18:D20)</f>
        <v>31.099999999999998</v>
      </c>
      <c r="E21" s="19">
        <f>SUM(E18:E20)</f>
        <v>0.72</v>
      </c>
      <c r="F21" s="19">
        <f>SUM(B21:E21)</f>
        <v>75.63960396039603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0.10100528823498613</v>
      </c>
      <c r="C22" s="244">
        <f>C21/$F$21</f>
        <v>0.47831561861877586</v>
      </c>
      <c r="D22" s="244">
        <f>D21/$F$21</f>
        <v>0.41116027017121315</v>
      </c>
      <c r="E22" s="244">
        <f>E21/$F$21</f>
        <v>9.5188229750248713E-3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'[16]F 1 _ Echant et Séchage'!D5</f>
        <v>ROM-H15-PC-BAN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'[16]F 1 _ Echant et Séchage'!D6</f>
        <v>ROM-H15-PB-BAN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>
        <f>'[16]F 1 _ Echant et Séchage'!D8</f>
        <v>0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>
        <f>'[16]F 1 _ Echant et Séchage'!E15</f>
        <v>0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'[16]F 1 _ Echant et Séchage'!B13</f>
        <v>42046</v>
      </c>
      <c r="C9" s="1"/>
      <c r="D9" s="485" t="s">
        <v>6</v>
      </c>
      <c r="E9" s="485"/>
      <c r="F9" s="485"/>
      <c r="G9" s="6">
        <f>'[16]F 1 _ Echant et Séchage'!G20</f>
        <v>125.69999999999999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'[16]F 1 _ Echant et Séchage'!E13</f>
        <v>0.38541666666666669</v>
      </c>
      <c r="C10" s="1"/>
      <c r="D10" s="485" t="s">
        <v>9</v>
      </c>
      <c r="E10" s="485"/>
      <c r="F10" s="485"/>
      <c r="G10" s="236">
        <f>SUM('[16]F 1 _ Echant et Séchage'!H21:H23)</f>
        <v>0.65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0.19338461538461535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'[16]F 1 _ Echant et Séchage'!D51</f>
        <v>0.31646778042959406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'[16]F 4 TRI _ Granulo'!K5</f>
        <v>37.097095435684643</v>
      </c>
      <c r="D18" s="20">
        <f>'[16]F 4 TRI _ Granulo'!H5</f>
        <v>30.819999999999993</v>
      </c>
      <c r="E18" s="20">
        <f>'[16]F 4 TRI _ Granulo'!E5</f>
        <v>1.5</v>
      </c>
      <c r="F18" s="20">
        <f>SUM(C18:E18)</f>
        <v>69.417095435684644</v>
      </c>
      <c r="G18" s="21">
        <f>F18/$F$21</f>
        <v>0.81069037135820932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'[16]F 4 TRI _ Granulo'!K6</f>
        <v>2.5643153526970979</v>
      </c>
      <c r="D19" s="20">
        <f>'[16]F 4 TRI _ Granulo'!H6</f>
        <v>2.3400000000000003</v>
      </c>
      <c r="E19" s="20">
        <f>'[16]F 4 TRI _ Granulo'!E6</f>
        <v>0</v>
      </c>
      <c r="F19" s="20">
        <f>SUM(C19:E19)</f>
        <v>4.9043153526970986</v>
      </c>
      <c r="G19" s="21">
        <f>F19/$F$21</f>
        <v>5.7275246242756671E-2</v>
      </c>
      <c r="H19" s="98"/>
      <c r="I19" s="100"/>
      <c r="J19" s="100"/>
    </row>
    <row r="20" spans="1:10" x14ac:dyDescent="0.25">
      <c r="A20" s="22" t="s">
        <v>74</v>
      </c>
      <c r="B20" s="23">
        <f>'[16]F 3 _ Criblage et Tri'!C27+'[16]F 3 _ Criblage et Tri'!D27</f>
        <v>10.100000000000001</v>
      </c>
      <c r="C20" s="19">
        <f>'[16]F 4 TRI _ Granulo'!K7</f>
        <v>1.025726141078839</v>
      </c>
      <c r="D20" s="20">
        <f>'[16]F 4 TRI _ Granulo'!H7</f>
        <v>0.18000000000000016</v>
      </c>
      <c r="E20" s="20">
        <f>'[16]F 4 TRI _ Granulo'!E7</f>
        <v>0</v>
      </c>
      <c r="F20" s="19">
        <f>SUM(B20:E20)</f>
        <v>11.305726141078839</v>
      </c>
      <c r="G20" s="21">
        <f>F20/$F$21</f>
        <v>0.13203438239903392</v>
      </c>
      <c r="H20" s="98"/>
      <c r="I20" s="101"/>
      <c r="J20" s="101"/>
    </row>
    <row r="21" spans="1:10" x14ac:dyDescent="0.25">
      <c r="A21" s="25" t="s">
        <v>25</v>
      </c>
      <c r="B21" s="90">
        <f>B20</f>
        <v>10.100000000000001</v>
      </c>
      <c r="C21" s="19">
        <f>SUM(C18:C20)</f>
        <v>40.687136929460586</v>
      </c>
      <c r="D21" s="19">
        <f>SUM(D18:D20)</f>
        <v>33.339999999999996</v>
      </c>
      <c r="E21" s="19">
        <f>SUM(E18:E20)</f>
        <v>1.5</v>
      </c>
      <c r="F21" s="19">
        <f>SUM(B21:E21)</f>
        <v>85.62713692946059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0.11795326063885979</v>
      </c>
      <c r="C22" s="244">
        <f>C21/$F$21</f>
        <v>0.4751663828603605</v>
      </c>
      <c r="D22" s="244">
        <f>D21/$F$21</f>
        <v>0.38936254551481037</v>
      </c>
      <c r="E22" s="244">
        <f>E21/$F$21</f>
        <v>1.7517810985969273E-2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2"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4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'[17]F 1 _ Echant et Séchage'!D5</f>
        <v>ROM-H15-PC-PAR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252" t="str">
        <f>'[17]F 1 _ Echant et Séchage'!D6</f>
        <v>DC 311 GD Paris 20</v>
      </c>
      <c r="C3" s="252"/>
      <c r="D3" s="252"/>
      <c r="E3" s="252"/>
      <c r="F3" s="252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'[17]F 1 _ Echant et Séchage'!D8</f>
        <v>Romainville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'[17]F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253" t="s">
        <v>4</v>
      </c>
      <c r="B7" s="253"/>
      <c r="C7" s="253"/>
      <c r="D7" s="253"/>
      <c r="E7" s="253"/>
      <c r="F7" s="253"/>
      <c r="G7" s="253"/>
      <c r="H7" s="253"/>
      <c r="I7" s="253"/>
      <c r="J7" s="253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'[17]F 1 _ Echant et Séchage'!B12</f>
        <v>42046</v>
      </c>
      <c r="C9" s="1"/>
      <c r="D9" s="3" t="s">
        <v>6</v>
      </c>
      <c r="E9" s="3"/>
      <c r="F9" s="3"/>
      <c r="G9" s="6">
        <f>'[17]F 1 _ Echant et Séchage'!G19</f>
        <v>125.9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'[17]F 1 _ Echant et Séchage'!E12</f>
        <v>0.33333333333333331</v>
      </c>
      <c r="C10" s="1"/>
      <c r="D10" s="3" t="s">
        <v>9</v>
      </c>
      <c r="E10" s="3"/>
      <c r="F10" s="3"/>
      <c r="G10" s="236">
        <f>'[17]F 1 _ Echant et Séchage'!H26</f>
        <v>0.5</v>
      </c>
      <c r="H10" s="236"/>
      <c r="I10" s="9"/>
      <c r="J10" s="1" t="s">
        <v>10</v>
      </c>
    </row>
    <row r="11" spans="1:10" x14ac:dyDescent="0.25">
      <c r="A11" s="1"/>
      <c r="B11" s="3"/>
      <c r="C11" s="3"/>
      <c r="D11" s="3" t="s">
        <v>11</v>
      </c>
      <c r="E11" s="3"/>
      <c r="F11" s="3"/>
      <c r="G11" s="10">
        <f>G9/1000/G10</f>
        <v>0.25180000000000002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" t="s">
        <v>13</v>
      </c>
      <c r="E12" s="3"/>
      <c r="F12" s="3"/>
      <c r="G12" s="245">
        <f>'[17]F 1 _ Echant et Séchage'!D51</f>
        <v>0.41069102462271656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253" t="s">
        <v>14</v>
      </c>
      <c r="B14" s="253"/>
      <c r="C14" s="253"/>
      <c r="D14" s="253"/>
      <c r="E14" s="253"/>
      <c r="F14" s="253"/>
      <c r="G14" s="253"/>
      <c r="H14" s="253"/>
      <c r="I14" s="253"/>
      <c r="J14" s="253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254" t="s">
        <v>16</v>
      </c>
      <c r="H16" s="255"/>
      <c r="I16" s="256"/>
      <c r="J16" s="25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258"/>
      <c r="H17" s="255"/>
      <c r="I17" s="256"/>
      <c r="J17" s="257"/>
    </row>
    <row r="18" spans="1:10" ht="25.5" x14ac:dyDescent="0.25">
      <c r="A18" s="239" t="s">
        <v>109</v>
      </c>
      <c r="B18" s="18" t="s">
        <v>111</v>
      </c>
      <c r="C18" s="19">
        <f>'[17]F 4 TRI _ Granulo'!K5</f>
        <v>34.418823529411767</v>
      </c>
      <c r="D18" s="20">
        <f>'[17]F 4 TRI _ Granulo'!H5</f>
        <v>16.22</v>
      </c>
      <c r="E18" s="20">
        <f>'[17]F 4 TRI _ Granulo'!E5</f>
        <v>0</v>
      </c>
      <c r="F18" s="20">
        <f>SUM(C18:E18)</f>
        <v>50.638823529411766</v>
      </c>
      <c r="G18" s="21">
        <f>F18/$F$21</f>
        <v>0.68176735233574581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'[17]F 4 TRI _ Granulo'!K6</f>
        <v>2.5439999999999987</v>
      </c>
      <c r="D19" s="20">
        <f>'[17]F 4 TRI _ Granulo'!H6</f>
        <v>6.3400000000000007</v>
      </c>
      <c r="E19" s="20">
        <f>'[17]F 4 TRI _ Granulo'!E6</f>
        <v>0</v>
      </c>
      <c r="F19" s="20">
        <f>SUM(C19:E19)</f>
        <v>8.8840000000000003</v>
      </c>
      <c r="G19" s="21">
        <f>F19/$F$21</f>
        <v>0.11960825185112912</v>
      </c>
      <c r="H19" s="98"/>
      <c r="I19" s="100"/>
      <c r="J19" s="100"/>
    </row>
    <row r="20" spans="1:10" x14ac:dyDescent="0.25">
      <c r="A20" s="22" t="s">
        <v>74</v>
      </c>
      <c r="B20" s="23">
        <f>'[17]F 3 _ Criblage et Tri'!C27+'[17]F 3 _ Criblage et Tri'!D27</f>
        <v>13.780000000000001</v>
      </c>
      <c r="C20" s="19">
        <f>'[17]F 4 TRI _ Granulo'!K7</f>
        <v>0.85298823529412005</v>
      </c>
      <c r="D20" s="20">
        <f>'[17]F 4 TRI _ Granulo'!H7</f>
        <v>0.12000000000000011</v>
      </c>
      <c r="E20" s="20">
        <f>'[17]F 4 TRI _ Granulo'!E7</f>
        <v>0</v>
      </c>
      <c r="F20" s="19">
        <f>SUM(B20:E20)</f>
        <v>14.752988235294122</v>
      </c>
      <c r="G20" s="21">
        <f>F20/$F$21</f>
        <v>0.19862439581312522</v>
      </c>
      <c r="H20" s="98"/>
      <c r="I20" s="101"/>
      <c r="J20" s="101"/>
    </row>
    <row r="21" spans="1:10" x14ac:dyDescent="0.25">
      <c r="A21" s="25" t="s">
        <v>25</v>
      </c>
      <c r="B21" s="90">
        <f>B20</f>
        <v>13.780000000000001</v>
      </c>
      <c r="C21" s="19">
        <f>SUM(C18:C20)</f>
        <v>37.815811764705884</v>
      </c>
      <c r="D21" s="19">
        <f>SUM(D18:D20)</f>
        <v>22.68</v>
      </c>
      <c r="E21" s="19">
        <f>SUM(E18:E20)</f>
        <v>0</v>
      </c>
      <c r="F21" s="19">
        <f>SUM(B21:E21)</f>
        <v>74.275811764705878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0.1855247310342818</v>
      </c>
      <c r="C22" s="244">
        <f>C21/$F$21</f>
        <v>0.50912687274964352</v>
      </c>
      <c r="D22" s="244">
        <f>D21/$F$21</f>
        <v>0.30534839621607479</v>
      </c>
      <c r="E22" s="244">
        <f>E21/$F$21</f>
        <v>0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'[18]F 1 _ Echant et Séchage'!D5</f>
        <v>STO H15 PC BAN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'[18]F 1 _ Echant et Séchage'!D6</f>
        <v>DH 862 TB Saint Ouen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'[18]F 1 _ Echant et Séchage'!D8</f>
        <v>SAINT OUEN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'[18]F 1 _ Echant et Séchage'!E15</f>
        <v>sec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'[18]F 1 _ Echant et Séchage'!B12</f>
        <v>42040</v>
      </c>
      <c r="C9" s="1"/>
      <c r="D9" s="485" t="s">
        <v>6</v>
      </c>
      <c r="E9" s="485"/>
      <c r="F9" s="485"/>
      <c r="G9" s="6">
        <f>'[18]F 1 _ Echant et Séchage'!G19</f>
        <v>128.19999999999999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'[18]F 1 _ Echant et Séchage'!E12</f>
        <v>0.3888888888888889</v>
      </c>
      <c r="C10" s="1"/>
      <c r="D10" s="485" t="s">
        <v>9</v>
      </c>
      <c r="E10" s="485"/>
      <c r="F10" s="485"/>
      <c r="G10" s="236">
        <f>'[18]F 1 _ Echant et Séchage'!H26</f>
        <v>0.52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0.24653846153846148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'[18]F 1 _ Echant et Séchage'!D51</f>
        <v>0.36860374414976588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</row>
    <row r="18" spans="1:10" ht="25.5" x14ac:dyDescent="0.25">
      <c r="A18" s="239" t="s">
        <v>109</v>
      </c>
      <c r="B18" s="18" t="s">
        <v>111</v>
      </c>
      <c r="C18" s="19">
        <f>'[18]F 4 TRI _ Granulo'!K5</f>
        <v>29.577177419354832</v>
      </c>
      <c r="D18" s="20">
        <f>'[18]F 4 TRI _ Granulo'!H5</f>
        <v>30.98</v>
      </c>
      <c r="E18" s="20">
        <f>'[18]F 4 TRI _ Granulo'!E5</f>
        <v>0</v>
      </c>
      <c r="F18" s="20">
        <f>SUM(C18:E18)</f>
        <v>60.557177419354829</v>
      </c>
      <c r="G18" s="21">
        <f>F18/$F$21</f>
        <v>0.74520224123661005</v>
      </c>
      <c r="H18" s="98"/>
      <c r="I18" s="99"/>
      <c r="J18" s="99"/>
    </row>
    <row r="19" spans="1:10" ht="25.5" x14ac:dyDescent="0.25">
      <c r="A19" s="237" t="s">
        <v>110</v>
      </c>
      <c r="B19" s="18" t="s">
        <v>112</v>
      </c>
      <c r="C19" s="19">
        <f>'[18]F 4 TRI _ Granulo'!K6</f>
        <v>6.5396774193548382</v>
      </c>
      <c r="D19" s="20">
        <f>'[18]F 4 TRI _ Granulo'!H6</f>
        <v>2.1800000000000002</v>
      </c>
      <c r="E19" s="20">
        <f>'[18]F 4 TRI _ Granulo'!E6</f>
        <v>0</v>
      </c>
      <c r="F19" s="20">
        <f>SUM(C19:E19)</f>
        <v>8.7196774193548379</v>
      </c>
      <c r="G19" s="21">
        <f>F19/$F$21</f>
        <v>0.10730227914629765</v>
      </c>
      <c r="H19" s="98"/>
      <c r="I19" s="100"/>
      <c r="J19" s="100"/>
    </row>
    <row r="20" spans="1:10" x14ac:dyDescent="0.25">
      <c r="A20" s="22" t="s">
        <v>74</v>
      </c>
      <c r="B20" s="23">
        <f>'[18]F 3 _ Criblage et Tri'!C27+'[18]F 3 _ Criblage et Tri'!D27</f>
        <v>11.240000000000002</v>
      </c>
      <c r="C20" s="19">
        <f>'[18]F 4 TRI _ Granulo'!K7</f>
        <v>0.44588709677419397</v>
      </c>
      <c r="D20" s="20">
        <f>'[18]F 4 TRI _ Granulo'!H7</f>
        <v>0.29999999999999982</v>
      </c>
      <c r="E20" s="20">
        <f>'[18]F 4 TRI _ Granulo'!E7</f>
        <v>0</v>
      </c>
      <c r="F20" s="19">
        <f>SUM(B20:E20)</f>
        <v>11.985887096774196</v>
      </c>
      <c r="G20" s="21">
        <f>F20/$F$21</f>
        <v>0.14749547961709236</v>
      </c>
      <c r="H20" s="98"/>
      <c r="I20" s="101"/>
      <c r="J20" s="101"/>
    </row>
    <row r="21" spans="1:10" x14ac:dyDescent="0.25">
      <c r="A21" s="25" t="s">
        <v>25</v>
      </c>
      <c r="B21" s="90">
        <f>B20</f>
        <v>11.240000000000002</v>
      </c>
      <c r="C21" s="19">
        <f>SUM(C18:C20)</f>
        <v>36.562741935483864</v>
      </c>
      <c r="D21" s="19">
        <f>SUM(D18:D20)</f>
        <v>33.46</v>
      </c>
      <c r="E21" s="19">
        <f>SUM(E18:E20)</f>
        <v>0</v>
      </c>
      <c r="F21" s="19">
        <f>SUM(B21:E21)</f>
        <v>81.262741935483859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44">
        <f>B21/$F$21</f>
        <v>0.13831677017400751</v>
      </c>
      <c r="C22" s="244">
        <f>C21/$F$21</f>
        <v>0.44993241754642943</v>
      </c>
      <c r="D22" s="244">
        <f>D21/$F$21</f>
        <v>0.41175081227956317</v>
      </c>
      <c r="E22" s="244">
        <f>E21/$F$21</f>
        <v>0</v>
      </c>
      <c r="F22" s="244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2" sqref="B2:F2"/>
    </sheetView>
  </sheetViews>
  <sheetFormatPr baseColWidth="10"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0</v>
      </c>
      <c r="B2" s="251" t="str">
        <f>'[19]F 1 _ Echant et Séchage'!D5</f>
        <v>STO H15PC PAR</v>
      </c>
      <c r="C2" s="251"/>
      <c r="D2" s="251"/>
      <c r="E2" s="251"/>
      <c r="F2" s="251"/>
      <c r="G2" s="2"/>
      <c r="H2" s="2"/>
      <c r="I2" s="2"/>
      <c r="J2" s="2"/>
      <c r="K2" s="1"/>
    </row>
    <row r="3" spans="1:11" x14ac:dyDescent="0.25">
      <c r="A3" s="1" t="s">
        <v>1</v>
      </c>
      <c r="B3" s="491" t="str">
        <f>'[19]F 1 _ Echant et Séchage'!D6</f>
        <v>AA 329 EP Paris 17</v>
      </c>
      <c r="C3" s="491"/>
      <c r="D3" s="491"/>
      <c r="E3" s="491"/>
      <c r="F3" s="491"/>
      <c r="G3" s="3"/>
      <c r="H3" s="3"/>
      <c r="I3" s="3"/>
      <c r="J3" s="3"/>
      <c r="K3" s="1"/>
    </row>
    <row r="4" spans="1:11" x14ac:dyDescent="0.25">
      <c r="A4" s="1" t="s">
        <v>2</v>
      </c>
      <c r="B4" s="236"/>
      <c r="C4" s="236" t="str">
        <f>'[19]F 1 _ Echant et Séchage'!D8</f>
        <v>SAINT OUEN</v>
      </c>
      <c r="D4" s="236"/>
      <c r="E4" s="236"/>
      <c r="F4" s="236"/>
      <c r="G4" s="3"/>
      <c r="H4" s="3"/>
      <c r="I4" s="3"/>
      <c r="J4" s="3"/>
      <c r="K4" s="1"/>
    </row>
    <row r="5" spans="1:11" x14ac:dyDescent="0.25">
      <c r="A5" s="1" t="s">
        <v>3</v>
      </c>
      <c r="B5" s="236"/>
      <c r="C5" s="236" t="str">
        <f>'[19]F 1 _ Echant et Séchage'!E15</f>
        <v>sec</v>
      </c>
      <c r="D5" s="236"/>
      <c r="E5" s="236"/>
      <c r="F5" s="236"/>
      <c r="G5" s="3"/>
      <c r="H5" s="3"/>
      <c r="I5" s="3"/>
      <c r="J5" s="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4"/>
      <c r="J8" s="1"/>
      <c r="K8" s="1"/>
    </row>
    <row r="9" spans="1:11" x14ac:dyDescent="0.25">
      <c r="A9" s="1" t="s">
        <v>5</v>
      </c>
      <c r="B9" s="5">
        <f>'[19]F 1 _ Echant et Séchage'!B12</f>
        <v>42040</v>
      </c>
      <c r="C9" s="1"/>
      <c r="D9" s="485" t="s">
        <v>6</v>
      </c>
      <c r="E9" s="485"/>
      <c r="F9" s="485"/>
      <c r="G9" s="6">
        <f>'[19]F 1 _ Echant et Séchage'!G19</f>
        <v>125.89999999999999</v>
      </c>
      <c r="H9" s="6"/>
      <c r="I9" s="7"/>
      <c r="J9" s="1" t="s">
        <v>7</v>
      </c>
      <c r="K9" s="1"/>
    </row>
    <row r="10" spans="1:11" x14ac:dyDescent="0.25">
      <c r="A10" s="1" t="s">
        <v>8</v>
      </c>
      <c r="B10" s="8">
        <f>'[19]F 1 _ Echant et Séchage'!E12</f>
        <v>0.33333333333333331</v>
      </c>
      <c r="C10" s="1"/>
      <c r="D10" s="485" t="s">
        <v>9</v>
      </c>
      <c r="E10" s="485"/>
      <c r="F10" s="485"/>
      <c r="G10" s="236">
        <f>'[19]F 1 _ Echant et Séchage'!H26</f>
        <v>0.58000000000000007</v>
      </c>
      <c r="H10" s="236"/>
      <c r="I10" s="9"/>
      <c r="J10" s="1" t="s">
        <v>10</v>
      </c>
      <c r="K10" s="1"/>
    </row>
    <row r="11" spans="1:11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0.21706896551724134</v>
      </c>
      <c r="H11" s="10"/>
      <c r="I11" s="3"/>
      <c r="J11" s="3" t="s">
        <v>12</v>
      </c>
      <c r="K11" s="1"/>
    </row>
    <row r="12" spans="1:11" x14ac:dyDescent="0.25">
      <c r="A12" s="1"/>
      <c r="B12" s="7"/>
      <c r="C12" s="1"/>
      <c r="D12" s="485" t="s">
        <v>13</v>
      </c>
      <c r="E12" s="485"/>
      <c r="F12" s="485"/>
      <c r="G12" s="245">
        <f>'[19]F 1 _ Echant et Séchage'!D51</f>
        <v>0.38999205718824453</v>
      </c>
      <c r="H12" s="11"/>
      <c r="I12" s="11"/>
      <c r="J12" s="1"/>
      <c r="K12" s="1"/>
    </row>
    <row r="13" spans="1:11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  <c r="K13" s="1"/>
    </row>
    <row r="14" spans="1:11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  <c r="K14" s="1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"/>
    </row>
    <row r="16" spans="1:11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567"/>
      <c r="I16" s="568"/>
      <c r="J16" s="567"/>
      <c r="K16" s="1"/>
    </row>
    <row r="17" spans="1:15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567"/>
      <c r="I17" s="568"/>
      <c r="J17" s="567"/>
      <c r="K17" s="1"/>
    </row>
    <row r="18" spans="1:15" ht="25.5" x14ac:dyDescent="0.25">
      <c r="A18" s="239" t="s">
        <v>109</v>
      </c>
      <c r="B18" s="18" t="s">
        <v>111</v>
      </c>
      <c r="C18" s="19">
        <f>'[19]F 4 TRI _ Granulo'!K5</f>
        <v>29.3475</v>
      </c>
      <c r="D18" s="20">
        <f>'[19]F 4 TRI _ Granulo'!H5</f>
        <v>28.06</v>
      </c>
      <c r="E18" s="20">
        <f>'[19]F 4 TRI _ Granulo'!E5</f>
        <v>1.54</v>
      </c>
      <c r="F18" s="20">
        <f>SUM(C18:E18)</f>
        <v>58.947499999999998</v>
      </c>
      <c r="G18" s="21">
        <f>F18/$F$21</f>
        <v>0.76873052250040741</v>
      </c>
      <c r="H18" s="98"/>
      <c r="I18" s="99"/>
      <c r="J18" s="99"/>
      <c r="K18" s="1"/>
    </row>
    <row r="19" spans="1:15" ht="25.5" x14ac:dyDescent="0.25">
      <c r="A19" s="237" t="s">
        <v>110</v>
      </c>
      <c r="B19" s="18" t="s">
        <v>112</v>
      </c>
      <c r="C19" s="19">
        <f>'[19]F 4 TRI _ Granulo'!K6</f>
        <v>5.5773529411764695</v>
      </c>
      <c r="D19" s="20">
        <f>'[19]F 4 TRI _ Granulo'!H6</f>
        <v>4.2</v>
      </c>
      <c r="E19" s="20">
        <f>'[19]F 4 TRI _ Granulo'!E6</f>
        <v>0</v>
      </c>
      <c r="F19" s="20">
        <f>SUM(C19:E19)</f>
        <v>9.7773529411764706</v>
      </c>
      <c r="G19" s="21">
        <f>F19/$F$21</f>
        <v>0.12750582527064733</v>
      </c>
      <c r="H19" s="98"/>
      <c r="I19" s="100"/>
      <c r="J19" s="100"/>
      <c r="K19" s="1"/>
    </row>
    <row r="20" spans="1:15" x14ac:dyDescent="0.25">
      <c r="A20" s="22" t="s">
        <v>74</v>
      </c>
      <c r="B20" s="23">
        <f>'[19]F 3 _ Criblage et Tri'!C27+'[19]F 3 _ Criblage et Tri'!D27</f>
        <v>6.98</v>
      </c>
      <c r="C20" s="19">
        <f>'[19]F 4 TRI _ Granulo'!K7</f>
        <v>0.7967647058823536</v>
      </c>
      <c r="D20" s="20">
        <f>'[19]F 4 TRI _ Granulo'!H7</f>
        <v>0.18000000000000016</v>
      </c>
      <c r="E20" s="20">
        <f>'[19]F 4 TRI _ Granulo'!E7</f>
        <v>0</v>
      </c>
      <c r="F20" s="19">
        <f>SUM(B20:E20)</f>
        <v>7.956764705882355</v>
      </c>
      <c r="G20" s="21">
        <f>F20/$F$21</f>
        <v>0.10376365222894514</v>
      </c>
      <c r="H20" s="98"/>
      <c r="I20" s="101"/>
      <c r="J20" s="101"/>
      <c r="K20" s="1"/>
    </row>
    <row r="21" spans="1:15" x14ac:dyDescent="0.25">
      <c r="A21" s="25" t="s">
        <v>25</v>
      </c>
      <c r="B21" s="90">
        <f>B20</f>
        <v>6.98</v>
      </c>
      <c r="C21" s="19">
        <f>SUM(C18:C20)</f>
        <v>35.721617647058821</v>
      </c>
      <c r="D21" s="19">
        <f>SUM(D18:D20)</f>
        <v>32.44</v>
      </c>
      <c r="E21" s="19">
        <f>SUM(E18:E20)</f>
        <v>1.54</v>
      </c>
      <c r="F21" s="19">
        <f>SUM(B21:E21)</f>
        <v>76.681617647058829</v>
      </c>
      <c r="G21" s="21">
        <f>F21/$F$21</f>
        <v>1</v>
      </c>
      <c r="H21" s="98"/>
      <c r="I21" s="101"/>
      <c r="J21" s="101"/>
      <c r="K21" s="1"/>
    </row>
    <row r="22" spans="1:15" ht="51.75" x14ac:dyDescent="0.25">
      <c r="A22" s="26" t="s">
        <v>75</v>
      </c>
      <c r="B22" s="244">
        <f>B21/$F$21</f>
        <v>9.1025727080077098E-2</v>
      </c>
      <c r="C22" s="244">
        <f>C21/$F$21</f>
        <v>0.46584329782235556</v>
      </c>
      <c r="D22" s="244">
        <f>D21/$F$21</f>
        <v>0.42304793502545851</v>
      </c>
      <c r="E22" s="244">
        <f>E21/$F$21</f>
        <v>2.0083040072108697E-2</v>
      </c>
      <c r="F22" s="244">
        <f>F21/$F$21</f>
        <v>1</v>
      </c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6" spans="1:15" x14ac:dyDescent="0.25">
      <c r="O26" s="259"/>
    </row>
  </sheetData>
  <mergeCells count="12"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F30" sqref="F30"/>
    </sheetView>
  </sheetViews>
  <sheetFormatPr baseColWidth="10" defaultRowHeight="15" x14ac:dyDescent="0.25"/>
  <cols>
    <col min="2" max="2" width="30" customWidth="1"/>
    <col min="3" max="13" width="16.7109375" customWidth="1"/>
  </cols>
  <sheetData>
    <row r="1" spans="1:14" x14ac:dyDescent="0.25">
      <c r="A1" s="569"/>
      <c r="B1" s="91"/>
      <c r="C1" s="102" t="str">
        <f>'ISS H15 PC BAN'!B2</f>
        <v>ISS H15 PC BAN</v>
      </c>
      <c r="D1" s="103" t="str">
        <f>'ISS H15 PC PAR'!B2</f>
        <v>ISS H15 PC PAR</v>
      </c>
      <c r="E1" s="103" t="str">
        <f>'IVR H15 PC BAN'!B2</f>
        <v>IVR H15 PC BAN</v>
      </c>
      <c r="F1" s="103" t="str">
        <f>'IVR H15 PC PAR'!B2</f>
        <v>IVR H15 PC PAR</v>
      </c>
      <c r="G1" s="103" t="str">
        <f>'ROM H15 PC BAN '!B2</f>
        <v>ROM-H15-PC-BAN</v>
      </c>
      <c r="H1" s="103" t="str">
        <f>'ROM H15 PC PAR'!B2</f>
        <v>ROM-H15-PC-PAR</v>
      </c>
      <c r="I1" s="103" t="str">
        <f>'STO H15 PC BAN'!B2</f>
        <v>STO H15 PC BAN</v>
      </c>
      <c r="J1" s="103" t="str">
        <f>'STO H15 PC PAR'!B2</f>
        <v>STO H15PC PAR</v>
      </c>
      <c r="K1" s="104" t="s">
        <v>76</v>
      </c>
      <c r="L1" s="105" t="s">
        <v>77</v>
      </c>
      <c r="M1" s="105" t="s">
        <v>78</v>
      </c>
    </row>
    <row r="2" spans="1:14" x14ac:dyDescent="0.25">
      <c r="A2" s="569"/>
      <c r="B2" s="93" t="str">
        <f>'[9]F 1 _ Echant et Séchage'!D5</f>
        <v>ISS A14 PB BAN</v>
      </c>
      <c r="C2" s="106">
        <f>'ISS H15 PC BAN'!G11</f>
        <v>0.21</v>
      </c>
      <c r="D2" s="106">
        <f>'ISS H15 PC PAR'!G11</f>
        <v>0.20933333333333334</v>
      </c>
      <c r="E2" s="106">
        <f>'IVR H15 PC BAN'!G11</f>
        <v>0.21233333333333329</v>
      </c>
      <c r="F2" s="106">
        <f>'IVR H15 PC PAR'!G11</f>
        <v>0.18202898550724642</v>
      </c>
      <c r="G2" s="106">
        <f>'ROM H15 PC BAN '!G11</f>
        <v>0.19338461538461535</v>
      </c>
      <c r="H2" s="106">
        <f>'ROM H15 PC PAR'!G11</f>
        <v>0.25180000000000002</v>
      </c>
      <c r="I2" s="106">
        <f>'STO H15 PC BAN'!G11</f>
        <v>0.24653846153846148</v>
      </c>
      <c r="J2" s="106">
        <f>'STO H15 PC PAR'!G11</f>
        <v>0.21706896551724134</v>
      </c>
      <c r="K2" s="107">
        <f>AVERAGE(C2:J2)</f>
        <v>0.21531096182677892</v>
      </c>
      <c r="L2" s="107">
        <f>AVERAGE(D2,F2,H2,J2)</f>
        <v>0.21505782108945526</v>
      </c>
      <c r="M2" s="107">
        <f>AVERAGE(C2,E2,G2,I2)</f>
        <v>0.21556410256410252</v>
      </c>
    </row>
    <row r="3" spans="1:14" x14ac:dyDescent="0.25">
      <c r="A3" s="569"/>
      <c r="B3" s="93" t="s">
        <v>79</v>
      </c>
      <c r="C3" s="230">
        <f>'ISS H15 PC BAN'!G12</f>
        <v>0.4366198282591725</v>
      </c>
      <c r="D3" s="230">
        <f>'ISS H15 PC PAR'!G12</f>
        <v>0.40509554140127368</v>
      </c>
      <c r="E3" s="230">
        <f>'IVR H15 PC BAN'!G12</f>
        <v>0.43814756671899524</v>
      </c>
      <c r="F3" s="230">
        <f>'IVR H15 PC PAR'!G12</f>
        <v>0.39775477707006385</v>
      </c>
      <c r="G3" s="231">
        <f>'ROM H15 PC BAN '!G12</f>
        <v>0.31646778042959406</v>
      </c>
      <c r="H3" s="230">
        <f>'ROM H15 PC PAR'!G12</f>
        <v>0.41069102462271656</v>
      </c>
      <c r="I3" s="230">
        <f>'STO H15 PC BAN'!G12</f>
        <v>0.36860374414976588</v>
      </c>
      <c r="J3" s="230">
        <f>'STO H15 PC PAR'!G12</f>
        <v>0.38999205718824453</v>
      </c>
      <c r="K3" s="232">
        <f>AVERAGE(C3:J3)</f>
        <v>0.39542153997997836</v>
      </c>
      <c r="L3" s="232">
        <f>AVERAGE(D3,F3,H3,J3)</f>
        <v>0.40088335007057468</v>
      </c>
      <c r="M3" s="232">
        <f>AVERAGE(C3,E3,G3,I3)</f>
        <v>0.38995972988938193</v>
      </c>
    </row>
    <row r="4" spans="1:14" ht="15" customHeight="1" x14ac:dyDescent="0.25">
      <c r="A4" s="575"/>
      <c r="B4" s="575"/>
      <c r="C4" s="574" t="s">
        <v>16</v>
      </c>
      <c r="D4" s="574" t="s">
        <v>16</v>
      </c>
      <c r="E4" s="574" t="s">
        <v>16</v>
      </c>
      <c r="F4" s="574" t="s">
        <v>16</v>
      </c>
      <c r="G4" s="574" t="s">
        <v>16</v>
      </c>
      <c r="H4" s="574" t="s">
        <v>16</v>
      </c>
      <c r="I4" s="574" t="s">
        <v>16</v>
      </c>
      <c r="J4" s="574" t="s">
        <v>16</v>
      </c>
      <c r="K4" s="574" t="s">
        <v>107</v>
      </c>
      <c r="L4" s="574" t="s">
        <v>107</v>
      </c>
      <c r="M4" s="574" t="s">
        <v>107</v>
      </c>
    </row>
    <row r="5" spans="1:14" x14ac:dyDescent="0.25">
      <c r="A5" s="92" t="s">
        <v>20</v>
      </c>
      <c r="B5" s="92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</row>
    <row r="6" spans="1:14" ht="38.25" customHeight="1" x14ac:dyDescent="0.25">
      <c r="A6" s="570" t="s">
        <v>56</v>
      </c>
      <c r="B6" s="571"/>
      <c r="C6" s="110">
        <f>'ISS H15 PC BAN'!G18</f>
        <v>0.76335717763379651</v>
      </c>
      <c r="D6" s="110">
        <f>'ISS H15 PC PAR'!G18</f>
        <v>0.82390782565920606</v>
      </c>
      <c r="E6" s="110">
        <f>'IVR H15 PC BAN'!G18</f>
        <v>0.66877174222487601</v>
      </c>
      <c r="F6" s="110">
        <f>'IVR H15 PC PAR'!G18</f>
        <v>0.77645164668307243</v>
      </c>
      <c r="G6" s="110">
        <f>'ROM H15 PC BAN '!G18</f>
        <v>0.81069037135820932</v>
      </c>
      <c r="H6" s="110">
        <f>'ROM H15 PC PAR'!G18</f>
        <v>0.68176735233574581</v>
      </c>
      <c r="I6" s="110">
        <f>'STO H15 PC BAN'!G18</f>
        <v>0.74520224123661005</v>
      </c>
      <c r="J6" s="110">
        <f>'STO H15 PC PAR'!G18</f>
        <v>0.76873052250040741</v>
      </c>
      <c r="K6" s="108">
        <f>AVERAGE(C6,D6,E6,F6,G6,H6,I6,J6)</f>
        <v>0.75485985995399041</v>
      </c>
      <c r="L6" s="108">
        <f>AVERAGE(D6,F6,H6,J6)</f>
        <v>0.76271433679460798</v>
      </c>
      <c r="M6" s="108">
        <f>AVERAGE(C6,E6,G6,I6)</f>
        <v>0.74700538311337294</v>
      </c>
      <c r="N6" s="234">
        <f>+(M6+L6)/2-K6</f>
        <v>0</v>
      </c>
    </row>
    <row r="7" spans="1:14" ht="38.25" customHeight="1" x14ac:dyDescent="0.25">
      <c r="A7" s="572" t="s">
        <v>67</v>
      </c>
      <c r="B7" s="573"/>
      <c r="C7" s="96">
        <f>'ISS H15 PC BAN'!G19</f>
        <v>0.13162053855660835</v>
      </c>
      <c r="D7" s="96">
        <f>'ISS H15 PC PAR'!G19</f>
        <v>0.11653676202430731</v>
      </c>
      <c r="E7" s="96">
        <f>'IVR H15 PC BAN'!G19</f>
        <v>0.22255011561135141</v>
      </c>
      <c r="F7" s="96">
        <f>'IVR H15 PC PAR'!G19</f>
        <v>0.11063144667260068</v>
      </c>
      <c r="G7" s="96">
        <f>'ROM H15 PC BAN '!G19</f>
        <v>5.7275246242756671E-2</v>
      </c>
      <c r="H7" s="96">
        <f>'ROM H15 PC PAR'!G19</f>
        <v>0.11960825185112912</v>
      </c>
      <c r="I7" s="96">
        <f>'STO H15 PC BAN'!G19</f>
        <v>0.10730227914629765</v>
      </c>
      <c r="J7" s="96">
        <f>'STO H15 PC PAR'!G19</f>
        <v>0.12750582527064733</v>
      </c>
      <c r="K7" s="60">
        <f>AVERAGE(C7,D7,E7,F7,G7,H7,I7,J7)</f>
        <v>0.12412880817196233</v>
      </c>
      <c r="L7" s="60">
        <f>AVERAGE(D7,F7,H7,J7)</f>
        <v>0.11857057145467112</v>
      </c>
      <c r="M7" s="60">
        <f>AVERAGE(C7,E7,G7,I7)</f>
        <v>0.12968704488925353</v>
      </c>
      <c r="N7" s="234">
        <f t="shared" ref="N7:N8" si="0">+(M7+L7)/2-K7</f>
        <v>0</v>
      </c>
    </row>
    <row r="8" spans="1:14" x14ac:dyDescent="0.25">
      <c r="A8" s="47" t="s">
        <v>74</v>
      </c>
      <c r="B8" s="109"/>
      <c r="C8" s="110">
        <f>'ISS H15 PC BAN'!G20</f>
        <v>0.10502228380959515</v>
      </c>
      <c r="D8" s="110">
        <f>'ISS H15 PC PAR'!G20</f>
        <v>5.9555412316486728E-2</v>
      </c>
      <c r="E8" s="110">
        <f>'IVR H15 PC BAN'!G20</f>
        <v>0.10867814216377232</v>
      </c>
      <c r="F8" s="110">
        <f>'IVR H15 PC PAR'!G20</f>
        <v>0.11291690664432692</v>
      </c>
      <c r="G8" s="110">
        <f>'ROM H15 PC BAN '!G20</f>
        <v>0.13203438239903392</v>
      </c>
      <c r="H8" s="110">
        <f>'ROM H15 PC PAR'!G20</f>
        <v>0.19862439581312522</v>
      </c>
      <c r="I8" s="110">
        <f>'STO H15 PC BAN'!G20</f>
        <v>0.14749547961709236</v>
      </c>
      <c r="J8" s="110">
        <f>'STO H15 PC PAR'!G20</f>
        <v>0.10376365222894514</v>
      </c>
      <c r="K8" s="108">
        <f>AVERAGE(C8,D8,E8,F8,G8,H8,I8,J8)</f>
        <v>0.1210113318740472</v>
      </c>
      <c r="L8" s="108">
        <f>AVERAGE(D8,F8,H8,J8)</f>
        <v>0.11871509175072101</v>
      </c>
      <c r="M8" s="108">
        <f>AVERAGE(C8,E8,G8,I8)</f>
        <v>0.12330757199737344</v>
      </c>
      <c r="N8" s="234">
        <f t="shared" si="0"/>
        <v>0</v>
      </c>
    </row>
    <row r="9" spans="1:14" x14ac:dyDescent="0.25">
      <c r="A9" s="94" t="s">
        <v>25</v>
      </c>
      <c r="B9" s="95"/>
      <c r="C9" s="96">
        <f t="shared" ref="C9:M9" si="1">SUM(C6:C8)</f>
        <v>1</v>
      </c>
      <c r="D9" s="97">
        <f t="shared" si="1"/>
        <v>1</v>
      </c>
      <c r="E9" s="97">
        <f t="shared" si="1"/>
        <v>0.99999999999999978</v>
      </c>
      <c r="F9" s="97">
        <f t="shared" si="1"/>
        <v>1</v>
      </c>
      <c r="G9" s="97">
        <f t="shared" si="1"/>
        <v>1</v>
      </c>
      <c r="H9" s="97">
        <f t="shared" si="1"/>
        <v>1.0000000000000002</v>
      </c>
      <c r="I9" s="97">
        <f t="shared" si="1"/>
        <v>1</v>
      </c>
      <c r="J9" s="97">
        <f t="shared" si="1"/>
        <v>0.99999999999999989</v>
      </c>
      <c r="K9" s="97">
        <f t="shared" si="1"/>
        <v>1</v>
      </c>
      <c r="L9" s="97">
        <f t="shared" si="1"/>
        <v>1</v>
      </c>
      <c r="M9" s="97">
        <f t="shared" si="1"/>
        <v>0.99999999999999989</v>
      </c>
    </row>
  </sheetData>
  <mergeCells count="15">
    <mergeCell ref="A1:A3"/>
    <mergeCell ref="A6:B6"/>
    <mergeCell ref="A7:B7"/>
    <mergeCell ref="M4:M5"/>
    <mergeCell ref="J4:J5"/>
    <mergeCell ref="K4:K5"/>
    <mergeCell ref="L4:L5"/>
    <mergeCell ref="G4:G5"/>
    <mergeCell ref="H4:H5"/>
    <mergeCell ref="I4:I5"/>
    <mergeCell ref="A4:B4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31"/>
  <sheetViews>
    <sheetView zoomScaleNormal="100" workbookViewId="0">
      <pane ySplit="4" topLeftCell="A5" activePane="bottomLeft" state="frozen"/>
      <selection activeCell="O13" sqref="O13"/>
      <selection pane="bottomLeft" activeCell="O13" sqref="O13"/>
    </sheetView>
  </sheetViews>
  <sheetFormatPr baseColWidth="10" defaultRowHeight="15" x14ac:dyDescent="0.25"/>
  <cols>
    <col min="1" max="1" width="11.85546875" style="266" customWidth="1"/>
    <col min="2" max="3" width="12.5703125" style="266" hidden="1" customWidth="1"/>
    <col min="4" max="10" width="12.7109375" style="293" customWidth="1"/>
    <col min="11" max="11" width="12.7109375" style="294" customWidth="1"/>
    <col min="12" max="13" width="11.42578125" style="267"/>
    <col min="14" max="14" width="14.85546875" style="267" customWidth="1"/>
    <col min="15" max="17" width="11.42578125" style="267"/>
    <col min="18" max="18" width="3" style="268" customWidth="1"/>
    <col min="19" max="22" width="11.42578125" style="269"/>
    <col min="23" max="16384" width="11.42578125" style="267"/>
  </cols>
  <sheetData>
    <row r="1" spans="1:22" ht="31.5" customHeight="1" x14ac:dyDescent="0.25">
      <c r="D1" s="580" t="s">
        <v>138</v>
      </c>
      <c r="E1" s="580"/>
      <c r="F1" s="580"/>
      <c r="G1" s="580"/>
      <c r="H1" s="580" t="s">
        <v>138</v>
      </c>
      <c r="I1" s="580"/>
      <c r="J1" s="580"/>
      <c r="K1" s="580"/>
    </row>
    <row r="2" spans="1:22" ht="20.25" customHeight="1" x14ac:dyDescent="0.25">
      <c r="D2" s="581" t="str">
        <f>' SYCTOM Déchets Orga'!D2:G2</f>
        <v>Campagne : Hiver 2015</v>
      </c>
      <c r="E2" s="581"/>
      <c r="F2" s="581"/>
      <c r="G2" s="581"/>
      <c r="H2" s="581" t="str">
        <f>D2</f>
        <v>Campagne : Hiver 2015</v>
      </c>
      <c r="I2" s="581"/>
      <c r="J2" s="581"/>
      <c r="K2" s="581"/>
    </row>
    <row r="3" spans="1:22" ht="20.25" customHeight="1" x14ac:dyDescent="0.25">
      <c r="A3" s="270"/>
      <c r="B3" s="270"/>
      <c r="C3" s="270"/>
      <c r="D3" s="582" t="s">
        <v>139</v>
      </c>
      <c r="E3" s="582"/>
      <c r="F3" s="582"/>
      <c r="G3" s="582"/>
      <c r="H3" s="582" t="s">
        <v>139</v>
      </c>
      <c r="I3" s="582"/>
      <c r="J3" s="582"/>
      <c r="K3" s="582"/>
    </row>
    <row r="4" spans="1:22" ht="24" customHeight="1" x14ac:dyDescent="0.25">
      <c r="A4" s="271" t="s">
        <v>140</v>
      </c>
      <c r="B4" s="272" t="s">
        <v>141</v>
      </c>
      <c r="C4" s="273" t="s">
        <v>142</v>
      </c>
      <c r="D4" s="274" t="s">
        <v>143</v>
      </c>
      <c r="E4" s="274" t="s">
        <v>144</v>
      </c>
      <c r="F4" s="274" t="s">
        <v>145</v>
      </c>
      <c r="G4" s="274" t="s">
        <v>146</v>
      </c>
      <c r="H4" s="274" t="s">
        <v>147</v>
      </c>
      <c r="I4" s="274" t="s">
        <v>148</v>
      </c>
      <c r="J4" s="274" t="s">
        <v>149</v>
      </c>
      <c r="K4" s="274" t="s">
        <v>150</v>
      </c>
      <c r="L4" s="275" t="s">
        <v>151</v>
      </c>
      <c r="M4" s="275" t="s">
        <v>152</v>
      </c>
      <c r="N4" s="275" t="s">
        <v>153</v>
      </c>
      <c r="O4" s="275" t="s">
        <v>154</v>
      </c>
      <c r="P4" s="275" t="s">
        <v>155</v>
      </c>
      <c r="Q4" s="275" t="s">
        <v>156</v>
      </c>
      <c r="S4" s="269" t="s">
        <v>157</v>
      </c>
      <c r="T4" s="276">
        <v>0.2</v>
      </c>
      <c r="U4" s="277" t="s">
        <v>158</v>
      </c>
      <c r="V4" s="278" t="s">
        <v>159</v>
      </c>
    </row>
    <row r="5" spans="1:22" ht="24" customHeight="1" x14ac:dyDescent="0.25">
      <c r="A5" s="279" t="s">
        <v>160</v>
      </c>
      <c r="B5" s="280" t="s">
        <v>161</v>
      </c>
      <c r="C5" s="281" t="s">
        <v>162</v>
      </c>
      <c r="D5" s="282">
        <v>65.930506329113925</v>
      </c>
      <c r="E5" s="282">
        <v>72.140284360189582</v>
      </c>
      <c r="F5" s="282">
        <v>72.371238938053096</v>
      </c>
      <c r="G5" s="282">
        <v>74.056382978723406</v>
      </c>
      <c r="H5" s="282">
        <v>66.547180192572213</v>
      </c>
      <c r="I5" s="282">
        <v>71.414713216957594</v>
      </c>
      <c r="J5" s="282">
        <v>67.514868105515575</v>
      </c>
      <c r="K5" s="282">
        <v>67.897807551766149</v>
      </c>
      <c r="L5" s="282">
        <v>69.035395344651761</v>
      </c>
      <c r="M5" s="282">
        <v>73.213810958388251</v>
      </c>
      <c r="N5" s="282">
        <v>68.980946704764904</v>
      </c>
      <c r="O5" s="282">
        <v>67.706337828640869</v>
      </c>
      <c r="P5" s="282">
        <v>68.090948391313702</v>
      </c>
      <c r="Q5" s="282">
        <v>71.37729702690919</v>
      </c>
      <c r="S5" s="269">
        <v>65.8</v>
      </c>
      <c r="U5" s="283">
        <v>78.959999999999994</v>
      </c>
      <c r="V5" s="283">
        <v>52.64</v>
      </c>
    </row>
    <row r="6" spans="1:22" ht="24" customHeight="1" x14ac:dyDescent="0.25">
      <c r="A6" s="279" t="s">
        <v>163</v>
      </c>
      <c r="B6" s="280" t="s">
        <v>164</v>
      </c>
      <c r="C6" s="281" t="s">
        <v>162</v>
      </c>
      <c r="D6" s="284">
        <v>0.84848101265822784</v>
      </c>
      <c r="E6" s="284">
        <v>0.95449052132701417</v>
      </c>
      <c r="F6" s="284">
        <v>1.0844469026548669</v>
      </c>
      <c r="G6" s="284">
        <v>1.1428590425531919</v>
      </c>
      <c r="H6" s="284">
        <v>0.9419257221458045</v>
      </c>
      <c r="I6" s="284">
        <v>0.98182044887780517</v>
      </c>
      <c r="J6" s="284">
        <v>0.91865707434052768</v>
      </c>
      <c r="K6" s="284">
        <v>0.97740560292326428</v>
      </c>
      <c r="L6" s="284">
        <v>0.90148576699262106</v>
      </c>
      <c r="M6" s="284">
        <v>1.1136529726040294</v>
      </c>
      <c r="N6" s="284">
        <v>0.96187308551180484</v>
      </c>
      <c r="O6" s="284">
        <v>0.94803133863189593</v>
      </c>
      <c r="P6" s="284">
        <v>0.94837767794985672</v>
      </c>
      <c r="Q6" s="284">
        <v>1.0141439039203188</v>
      </c>
      <c r="U6" s="283"/>
      <c r="V6" s="283"/>
    </row>
    <row r="7" spans="1:22" ht="24" customHeight="1" x14ac:dyDescent="0.25">
      <c r="A7" s="279" t="s">
        <v>165</v>
      </c>
      <c r="B7" s="280" t="s">
        <v>166</v>
      </c>
      <c r="C7" s="281" t="s">
        <v>167</v>
      </c>
      <c r="D7" s="285">
        <v>1299.7864556962024</v>
      </c>
      <c r="E7" s="285">
        <v>1448.7619668246448</v>
      </c>
      <c r="F7" s="285">
        <v>1635.9046460176992</v>
      </c>
      <c r="G7" s="285">
        <v>1796.9434840425538</v>
      </c>
      <c r="H7" s="285">
        <v>1376.6459422283356</v>
      </c>
      <c r="I7" s="285">
        <v>1318.2921446384039</v>
      </c>
      <c r="J7" s="285">
        <v>1477.3224220623501</v>
      </c>
      <c r="K7" s="285">
        <v>1340.7632155907434</v>
      </c>
      <c r="L7" s="285">
        <v>1374.2742112604237</v>
      </c>
      <c r="M7" s="285">
        <v>1716.4240650301265</v>
      </c>
      <c r="N7" s="285">
        <v>1347.4690434333697</v>
      </c>
      <c r="O7" s="285">
        <v>1409.0428188265469</v>
      </c>
      <c r="P7" s="285">
        <v>1447.4148665011471</v>
      </c>
      <c r="Q7" s="285">
        <v>1476.1902027740864</v>
      </c>
      <c r="U7" s="283"/>
      <c r="V7" s="283"/>
    </row>
    <row r="8" spans="1:22" ht="24" customHeight="1" x14ac:dyDescent="0.25">
      <c r="A8" s="279" t="s">
        <v>168</v>
      </c>
      <c r="B8" s="280" t="s">
        <v>166</v>
      </c>
      <c r="C8" s="281" t="s">
        <v>167</v>
      </c>
      <c r="D8" s="285">
        <v>2793.483924050633</v>
      </c>
      <c r="E8" s="285">
        <v>2844.7254739336504</v>
      </c>
      <c r="F8" s="285">
        <v>3313.573008849557</v>
      </c>
      <c r="G8" s="285">
        <v>3376.1323138297885</v>
      </c>
      <c r="H8" s="285">
        <v>3114.0407152682246</v>
      </c>
      <c r="I8" s="285">
        <v>3282.8593516209471</v>
      </c>
      <c r="J8" s="285">
        <v>2757.0414868105509</v>
      </c>
      <c r="K8" s="285">
        <v>2894.082704019489</v>
      </c>
      <c r="L8" s="285">
        <v>2819.1046989921415</v>
      </c>
      <c r="M8" s="285">
        <v>3344.8526613396725</v>
      </c>
      <c r="N8" s="285">
        <v>3198.4500334445856</v>
      </c>
      <c r="O8" s="285">
        <v>2825.5620954150199</v>
      </c>
      <c r="P8" s="285">
        <v>2994.5347837447416</v>
      </c>
      <c r="Q8" s="285">
        <v>3099.4499608509686</v>
      </c>
      <c r="U8" s="283"/>
      <c r="V8" s="283"/>
    </row>
    <row r="9" spans="1:22" ht="24" customHeight="1" x14ac:dyDescent="0.25">
      <c r="A9" s="279" t="s">
        <v>169</v>
      </c>
      <c r="B9" s="280" t="s">
        <v>170</v>
      </c>
      <c r="C9" s="281" t="s">
        <v>162</v>
      </c>
      <c r="D9" s="282">
        <v>34.347341772151893</v>
      </c>
      <c r="E9" s="282">
        <v>37.903199052132706</v>
      </c>
      <c r="F9" s="282">
        <v>37.381415929203541</v>
      </c>
      <c r="G9" s="282">
        <v>37.626063829787235</v>
      </c>
      <c r="H9" s="282">
        <v>34.777579092159556</v>
      </c>
      <c r="I9" s="282">
        <v>37.289152119700738</v>
      </c>
      <c r="J9" s="282">
        <v>34.970383693045555</v>
      </c>
      <c r="K9" s="282">
        <v>34.33520097442144</v>
      </c>
      <c r="L9" s="282">
        <v>36.125270412142299</v>
      </c>
      <c r="M9" s="282">
        <v>37.503739879495384</v>
      </c>
      <c r="N9" s="282">
        <v>36.033365605930143</v>
      </c>
      <c r="O9" s="282">
        <v>34.652792333733501</v>
      </c>
      <c r="P9" s="282">
        <v>35.369180121640134</v>
      </c>
      <c r="Q9" s="282">
        <v>36.78840399401053</v>
      </c>
      <c r="S9" s="269">
        <v>34.9</v>
      </c>
      <c r="T9" s="269">
        <f t="shared" ref="T9:T11" si="0">(20/100)*S9</f>
        <v>6.98</v>
      </c>
      <c r="U9" s="283">
        <f t="shared" ref="U9:U11" si="1">T9+S9</f>
        <v>41.879999999999995</v>
      </c>
      <c r="V9" s="283">
        <f t="shared" ref="V9:V11" si="2">S9-T9</f>
        <v>27.919999999999998</v>
      </c>
    </row>
    <row r="10" spans="1:22" ht="24" customHeight="1" x14ac:dyDescent="0.25">
      <c r="A10" s="279" t="s">
        <v>171</v>
      </c>
      <c r="B10" s="280" t="s">
        <v>172</v>
      </c>
      <c r="C10" s="281" t="s">
        <v>162</v>
      </c>
      <c r="D10" s="284">
        <v>0.80734177215189873</v>
      </c>
      <c r="E10" s="284">
        <v>0.91232227488151674</v>
      </c>
      <c r="F10" s="284">
        <v>1.036283185840708</v>
      </c>
      <c r="G10" s="284">
        <v>1.090558510638298</v>
      </c>
      <c r="H10" s="284">
        <v>0.89284731774415382</v>
      </c>
      <c r="I10" s="284">
        <v>0.92805486284289285</v>
      </c>
      <c r="J10" s="284">
        <v>0.87601918465227846</v>
      </c>
      <c r="K10" s="284">
        <v>0.94457978075517668</v>
      </c>
      <c r="L10" s="284">
        <v>0.85983202351670773</v>
      </c>
      <c r="M10" s="284">
        <v>1.0634208482395029</v>
      </c>
      <c r="N10" s="284">
        <v>0.91045109029352334</v>
      </c>
      <c r="O10" s="284">
        <v>0.91029948270372762</v>
      </c>
      <c r="P10" s="284">
        <v>0.90312286509725981</v>
      </c>
      <c r="Q10" s="284">
        <v>0.96887885727947098</v>
      </c>
      <c r="S10" s="269">
        <v>0.71</v>
      </c>
      <c r="T10" s="269">
        <f t="shared" si="0"/>
        <v>0.14199999999999999</v>
      </c>
      <c r="U10" s="283">
        <f t="shared" si="1"/>
        <v>0.85199999999999998</v>
      </c>
      <c r="V10" s="283">
        <f t="shared" si="2"/>
        <v>0.56799999999999995</v>
      </c>
    </row>
    <row r="11" spans="1:22" ht="24" customHeight="1" x14ac:dyDescent="0.25">
      <c r="A11" s="279" t="s">
        <v>173</v>
      </c>
      <c r="B11" s="280" t="s">
        <v>172</v>
      </c>
      <c r="C11" s="286" t="s">
        <v>174</v>
      </c>
      <c r="D11" s="282">
        <v>42.543744120413919</v>
      </c>
      <c r="E11" s="282">
        <v>41.545844155844151</v>
      </c>
      <c r="F11" s="282">
        <v>36.07258753202391</v>
      </c>
      <c r="G11" s="282">
        <v>34.501646140714541</v>
      </c>
      <c r="H11" s="282">
        <v>38.951317208442461</v>
      </c>
      <c r="I11" s="282">
        <v>40.17990057772402</v>
      </c>
      <c r="J11" s="282">
        <v>39.919655078018046</v>
      </c>
      <c r="K11" s="282">
        <v>36.349709864603483</v>
      </c>
      <c r="L11" s="282">
        <v>42.044794138129035</v>
      </c>
      <c r="M11" s="282">
        <v>35.287116836369222</v>
      </c>
      <c r="N11" s="282">
        <v>39.565608893083237</v>
      </c>
      <c r="O11" s="282">
        <v>38.134682471310768</v>
      </c>
      <c r="P11" s="282">
        <v>39.37182598472458</v>
      </c>
      <c r="Q11" s="282">
        <v>38.14427518472155</v>
      </c>
      <c r="S11" s="269">
        <v>49.2</v>
      </c>
      <c r="T11" s="269">
        <f t="shared" si="0"/>
        <v>9.8400000000000016</v>
      </c>
      <c r="U11" s="283">
        <f t="shared" si="1"/>
        <v>59.040000000000006</v>
      </c>
      <c r="V11" s="283">
        <f t="shared" si="2"/>
        <v>39.36</v>
      </c>
    </row>
    <row r="12" spans="1:22" ht="24" customHeight="1" x14ac:dyDescent="0.25">
      <c r="A12" s="279" t="s">
        <v>175</v>
      </c>
      <c r="B12" s="576" t="s">
        <v>176</v>
      </c>
      <c r="C12" s="281" t="s">
        <v>167</v>
      </c>
      <c r="D12" s="285">
        <v>1681.9873417721521</v>
      </c>
      <c r="E12" s="285">
        <v>1775.9265402843603</v>
      </c>
      <c r="F12" s="285">
        <v>2415.006637168141</v>
      </c>
      <c r="G12" s="285">
        <v>2503.0851063829796</v>
      </c>
      <c r="H12" s="285">
        <v>1727.5392022008255</v>
      </c>
      <c r="I12" s="285">
        <v>2023.6795511221947</v>
      </c>
      <c r="J12" s="285">
        <v>1604.3920863309352</v>
      </c>
      <c r="K12" s="285">
        <v>1965.4786845310603</v>
      </c>
      <c r="L12" s="285">
        <v>1728.9569410282561</v>
      </c>
      <c r="M12" s="285">
        <v>2459.04587177556</v>
      </c>
      <c r="N12" s="285">
        <v>1875.6093766615099</v>
      </c>
      <c r="O12" s="285">
        <v>1784.9353854309977</v>
      </c>
      <c r="P12" s="285">
        <v>1857.2313168680134</v>
      </c>
      <c r="Q12" s="285">
        <v>2067.0424705801488</v>
      </c>
      <c r="S12" s="269">
        <v>1700</v>
      </c>
      <c r="U12" s="283">
        <f>S12-((50/100)*S12)</f>
        <v>850</v>
      </c>
      <c r="V12" s="283">
        <f>S12+((200/100)*S12)</f>
        <v>5100</v>
      </c>
    </row>
    <row r="13" spans="1:22" ht="24" customHeight="1" x14ac:dyDescent="0.25">
      <c r="A13" s="279" t="s">
        <v>177</v>
      </c>
      <c r="B13" s="577"/>
      <c r="C13" s="281" t="s">
        <v>167</v>
      </c>
      <c r="D13" s="285">
        <v>6369.4443037974688</v>
      </c>
      <c r="E13" s="285">
        <v>7304.8056872037923</v>
      </c>
      <c r="F13" s="285">
        <v>7631.9491150442473</v>
      </c>
      <c r="G13" s="285">
        <v>7451.364361702128</v>
      </c>
      <c r="H13" s="285">
        <v>6277.7180192572196</v>
      </c>
      <c r="I13" s="285">
        <v>6607.3703241895264</v>
      </c>
      <c r="J13" s="285">
        <v>6487.1570743405282</v>
      </c>
      <c r="K13" s="285">
        <v>6211.7125456760041</v>
      </c>
      <c r="L13" s="285">
        <v>6837.1249955006306</v>
      </c>
      <c r="M13" s="285">
        <v>7541.6567383731872</v>
      </c>
      <c r="N13" s="285">
        <v>6442.5441717233734</v>
      </c>
      <c r="O13" s="285">
        <v>6349.4348100082661</v>
      </c>
      <c r="P13" s="285">
        <v>6691.5671281098657</v>
      </c>
      <c r="Q13" s="285">
        <v>6893.8132296928625</v>
      </c>
      <c r="S13" s="269">
        <v>2878</v>
      </c>
      <c r="U13" s="283">
        <f t="shared" ref="U13:U14" si="3">S13-((50/100)*S13)</f>
        <v>1439</v>
      </c>
      <c r="V13" s="283">
        <f>S13+((200/100)*S13)</f>
        <v>8634</v>
      </c>
    </row>
    <row r="14" spans="1:22" ht="24" customHeight="1" x14ac:dyDescent="0.25">
      <c r="A14" s="279" t="s">
        <v>178</v>
      </c>
      <c r="B14" s="578"/>
      <c r="C14" s="281" t="s">
        <v>167</v>
      </c>
      <c r="D14" s="282">
        <v>46.167088607594927</v>
      </c>
      <c r="E14" s="282">
        <v>47.26658767772512</v>
      </c>
      <c r="F14" s="282">
        <v>47.623893805309727</v>
      </c>
      <c r="G14" s="282">
        <v>45.327127659574479</v>
      </c>
      <c r="H14" s="282">
        <v>47.259972489683619</v>
      </c>
      <c r="I14" s="282">
        <v>46.694513715710727</v>
      </c>
      <c r="J14" s="282">
        <v>45.110311750599521</v>
      </c>
      <c r="K14" s="282">
        <v>44.576126674786849</v>
      </c>
      <c r="L14" s="282">
        <v>46.716838142660023</v>
      </c>
      <c r="M14" s="282">
        <v>46.475510732442103</v>
      </c>
      <c r="N14" s="282">
        <v>46.977243102697173</v>
      </c>
      <c r="O14" s="282">
        <v>44.843219212693185</v>
      </c>
      <c r="P14" s="282">
        <v>46.540316663296949</v>
      </c>
      <c r="Q14" s="282">
        <v>45.966088931949294</v>
      </c>
      <c r="S14" s="269">
        <v>100</v>
      </c>
      <c r="U14" s="283">
        <f t="shared" si="3"/>
        <v>50</v>
      </c>
      <c r="V14" s="283">
        <f t="shared" ref="V14" si="4">S14+((200/100)*S14)</f>
        <v>300</v>
      </c>
    </row>
    <row r="15" spans="1:22" ht="24" customHeight="1" x14ac:dyDescent="0.25">
      <c r="A15" s="279" t="s">
        <v>179</v>
      </c>
      <c r="B15" s="280" t="s">
        <v>166</v>
      </c>
      <c r="C15" s="281" t="s">
        <v>167</v>
      </c>
      <c r="D15" s="282">
        <v>18.527341772151903</v>
      </c>
      <c r="E15" s="282">
        <v>18.254857819905219</v>
      </c>
      <c r="F15" s="282">
        <v>28.934513274336283</v>
      </c>
      <c r="G15" s="282">
        <v>31.465292553191496</v>
      </c>
      <c r="H15" s="282">
        <v>17.914718019257219</v>
      </c>
      <c r="I15" s="282">
        <v>23.558478802992514</v>
      </c>
      <c r="J15" s="282">
        <v>16.534772182254194</v>
      </c>
      <c r="K15" s="282">
        <v>24.153593179049942</v>
      </c>
      <c r="L15" s="282">
        <v>18.391099796028563</v>
      </c>
      <c r="M15" s="282">
        <v>30.199902913763889</v>
      </c>
      <c r="N15" s="282">
        <v>20.736598411124866</v>
      </c>
      <c r="O15" s="282">
        <v>20.344182680652068</v>
      </c>
      <c r="P15" s="282">
        <v>20.477836311999901</v>
      </c>
      <c r="Q15" s="282">
        <v>24.358055588784794</v>
      </c>
    </row>
    <row r="16" spans="1:22" ht="24" customHeight="1" x14ac:dyDescent="0.25">
      <c r="A16" s="279" t="s">
        <v>180</v>
      </c>
      <c r="B16" s="280" t="s">
        <v>166</v>
      </c>
      <c r="C16" s="281" t="s">
        <v>167</v>
      </c>
      <c r="D16" s="285">
        <v>49.483924050632915</v>
      </c>
      <c r="E16" s="285">
        <v>77.851303317535553</v>
      </c>
      <c r="F16" s="285">
        <v>58.051548672566369</v>
      </c>
      <c r="G16" s="285">
        <v>50.078723404255321</v>
      </c>
      <c r="H16" s="285">
        <v>80.893397524071503</v>
      </c>
      <c r="I16" s="285">
        <v>65.293765586034922</v>
      </c>
      <c r="J16" s="285">
        <v>63.667386091127099</v>
      </c>
      <c r="K16" s="285">
        <v>68.460414129110845</v>
      </c>
      <c r="L16" s="285">
        <v>63.66761368408423</v>
      </c>
      <c r="M16" s="285">
        <v>54.065136038410841</v>
      </c>
      <c r="N16" s="285">
        <v>73.09358155505322</v>
      </c>
      <c r="O16" s="285">
        <v>66.063900110118965</v>
      </c>
      <c r="P16" s="285">
        <v>63.024064084599473</v>
      </c>
      <c r="Q16" s="285">
        <v>65.421051609234169</v>
      </c>
      <c r="S16" s="269">
        <v>56.3</v>
      </c>
      <c r="U16" s="283">
        <f>S16/2</f>
        <v>28.15</v>
      </c>
      <c r="V16" s="269">
        <f>S16*2</f>
        <v>112.6</v>
      </c>
    </row>
    <row r="17" spans="1:22" ht="24" customHeight="1" x14ac:dyDescent="0.25">
      <c r="A17" s="279" t="s">
        <v>181</v>
      </c>
      <c r="B17" s="280" t="s">
        <v>166</v>
      </c>
      <c r="C17" s="281" t="s">
        <v>167</v>
      </c>
      <c r="D17" s="284">
        <v>0.51196202531645574</v>
      </c>
      <c r="E17" s="284">
        <v>0.47885071090047393</v>
      </c>
      <c r="F17" s="284">
        <v>0.69745575221238931</v>
      </c>
      <c r="G17" s="284">
        <v>0.70132978723404271</v>
      </c>
      <c r="H17" s="284">
        <v>0.48101788170563953</v>
      </c>
      <c r="I17" s="284">
        <v>0.54769326683291764</v>
      </c>
      <c r="J17" s="284">
        <v>0.42805755395683465</v>
      </c>
      <c r="K17" s="284">
        <v>0.72448233861144951</v>
      </c>
      <c r="L17" s="284">
        <v>0.49540636810846483</v>
      </c>
      <c r="M17" s="284">
        <v>0.69939276972321607</v>
      </c>
      <c r="N17" s="284">
        <v>0.51435557426927858</v>
      </c>
      <c r="O17" s="284">
        <v>0.57626994628414208</v>
      </c>
      <c r="P17" s="284">
        <v>0.52962330329782981</v>
      </c>
      <c r="Q17" s="284">
        <v>0.61308902589472103</v>
      </c>
      <c r="R17" s="287"/>
      <c r="S17" s="269">
        <v>1.29</v>
      </c>
      <c r="U17" s="283">
        <f t="shared" ref="U17:U23" si="5">S17/2</f>
        <v>0.64500000000000002</v>
      </c>
      <c r="V17" s="269">
        <f t="shared" ref="V17:V23" si="6">S17*2</f>
        <v>2.58</v>
      </c>
    </row>
    <row r="18" spans="1:22" ht="24" customHeight="1" x14ac:dyDescent="0.25">
      <c r="A18" s="279" t="s">
        <v>182</v>
      </c>
      <c r="B18" s="280" t="s">
        <v>166</v>
      </c>
      <c r="C18" s="281" t="s">
        <v>167</v>
      </c>
      <c r="D18" s="282">
        <v>18.70278481012658</v>
      </c>
      <c r="E18" s="282">
        <v>19.206990521327018</v>
      </c>
      <c r="F18" s="282">
        <v>18.109070796460173</v>
      </c>
      <c r="G18" s="282">
        <v>17.384574468085113</v>
      </c>
      <c r="H18" s="282">
        <v>25.74112792297111</v>
      </c>
      <c r="I18" s="282">
        <v>21.376932668329175</v>
      </c>
      <c r="J18" s="282">
        <v>18.02745803357314</v>
      </c>
      <c r="K18" s="282">
        <v>24.959561510353225</v>
      </c>
      <c r="L18" s="282">
        <v>18.954887665726801</v>
      </c>
      <c r="M18" s="282">
        <v>17.746822632272643</v>
      </c>
      <c r="N18" s="282">
        <v>23.559030295650143</v>
      </c>
      <c r="O18" s="282">
        <v>21.493509771963183</v>
      </c>
      <c r="P18" s="282">
        <v>20.145110390782751</v>
      </c>
      <c r="Q18" s="282">
        <v>20.732014792023634</v>
      </c>
      <c r="S18" s="269">
        <v>87</v>
      </c>
      <c r="U18" s="283">
        <f t="shared" si="5"/>
        <v>43.5</v>
      </c>
      <c r="V18" s="269">
        <f t="shared" si="6"/>
        <v>174</v>
      </c>
    </row>
    <row r="19" spans="1:22" ht="24" customHeight="1" x14ac:dyDescent="0.25">
      <c r="A19" s="279" t="s">
        <v>183</v>
      </c>
      <c r="B19" s="280" t="s">
        <v>166</v>
      </c>
      <c r="C19" s="281" t="s">
        <v>167</v>
      </c>
      <c r="D19" s="282">
        <v>7.1648101265822781</v>
      </c>
      <c r="E19" s="282">
        <v>9.4191350710900483</v>
      </c>
      <c r="F19" s="282">
        <v>9.5831858407079622</v>
      </c>
      <c r="G19" s="282">
        <v>9.1536569148936167</v>
      </c>
      <c r="H19" s="282">
        <v>10.505226960110042</v>
      </c>
      <c r="I19" s="282">
        <v>10.535598503740648</v>
      </c>
      <c r="J19" s="282">
        <v>7.7237410071942447</v>
      </c>
      <c r="K19" s="282">
        <v>11.953897685749087</v>
      </c>
      <c r="L19" s="282">
        <v>8.2919725988361641</v>
      </c>
      <c r="M19" s="282">
        <v>9.3684213778007894</v>
      </c>
      <c r="N19" s="282">
        <v>10.520412731925344</v>
      </c>
      <c r="O19" s="282">
        <v>9.8388193464716664</v>
      </c>
      <c r="P19" s="282">
        <v>8.7442409836486306</v>
      </c>
      <c r="Q19" s="282">
        <v>10.26557204386835</v>
      </c>
      <c r="S19" s="269">
        <v>20</v>
      </c>
      <c r="U19" s="283">
        <f t="shared" si="5"/>
        <v>10</v>
      </c>
      <c r="V19" s="269">
        <f t="shared" si="6"/>
        <v>40</v>
      </c>
    </row>
    <row r="20" spans="1:22" ht="24" customHeight="1" x14ac:dyDescent="0.25">
      <c r="A20" s="279" t="s">
        <v>184</v>
      </c>
      <c r="B20" s="280" t="s">
        <v>166</v>
      </c>
      <c r="C20" s="281" t="s">
        <v>167</v>
      </c>
      <c r="D20" s="282">
        <v>104.37670886075949</v>
      </c>
      <c r="E20" s="282">
        <v>112.50521327014219</v>
      </c>
      <c r="F20" s="282">
        <v>121.88849557522124</v>
      </c>
      <c r="G20" s="282">
        <v>113.74255319148938</v>
      </c>
      <c r="H20" s="282">
        <v>139.532462173315</v>
      </c>
      <c r="I20" s="282">
        <v>156.46458852867829</v>
      </c>
      <c r="J20" s="282">
        <v>99.466666666666669</v>
      </c>
      <c r="K20" s="282">
        <v>131.45724725943973</v>
      </c>
      <c r="L20" s="282">
        <v>108.44096106545084</v>
      </c>
      <c r="M20" s="282">
        <v>117.81552438335531</v>
      </c>
      <c r="N20" s="282">
        <v>147.99852535099666</v>
      </c>
      <c r="O20" s="282">
        <v>115.4619569630532</v>
      </c>
      <c r="P20" s="282">
        <v>116.31608331899059</v>
      </c>
      <c r="Q20" s="282">
        <v>128.54240056243739</v>
      </c>
      <c r="S20" s="269">
        <v>301</v>
      </c>
      <c r="U20" s="283">
        <f t="shared" si="5"/>
        <v>150.5</v>
      </c>
      <c r="V20" s="269">
        <f t="shared" si="6"/>
        <v>602</v>
      </c>
    </row>
    <row r="21" spans="1:22" ht="24" customHeight="1" x14ac:dyDescent="0.25">
      <c r="A21" s="279" t="s">
        <v>185</v>
      </c>
      <c r="B21" s="280" t="s">
        <v>186</v>
      </c>
      <c r="C21" s="281" t="s">
        <v>167</v>
      </c>
      <c r="D21" s="284">
        <v>0.11367088607594937</v>
      </c>
      <c r="E21" s="284">
        <v>0.15965639810426541</v>
      </c>
      <c r="F21" s="284">
        <v>0.12179203539823008</v>
      </c>
      <c r="G21" s="284">
        <v>0.1287234042553192</v>
      </c>
      <c r="H21" s="284">
        <v>0.11733149931224207</v>
      </c>
      <c r="I21" s="284">
        <v>0.10548628428927681</v>
      </c>
      <c r="J21" s="284">
        <v>0.15179856115107912</v>
      </c>
      <c r="K21" s="284">
        <v>0.12953714981729597</v>
      </c>
      <c r="L21" s="284">
        <v>0.1366636420901074</v>
      </c>
      <c r="M21" s="284">
        <v>0.12525771982677464</v>
      </c>
      <c r="N21" s="284">
        <v>0.11140889180075944</v>
      </c>
      <c r="O21" s="284">
        <v>0.14066785548418753</v>
      </c>
      <c r="P21" s="284">
        <v>0.12614824548437517</v>
      </c>
      <c r="Q21" s="284">
        <v>0.13085080911653935</v>
      </c>
      <c r="S21" s="269">
        <v>0.1</v>
      </c>
      <c r="U21" s="283">
        <f t="shared" si="5"/>
        <v>0.05</v>
      </c>
      <c r="V21" s="269">
        <f t="shared" si="6"/>
        <v>0.2</v>
      </c>
    </row>
    <row r="22" spans="1:22" ht="24" customHeight="1" x14ac:dyDescent="0.25">
      <c r="A22" s="279" t="s">
        <v>187</v>
      </c>
      <c r="B22" s="280" t="s">
        <v>166</v>
      </c>
      <c r="C22" s="281" t="s">
        <v>167</v>
      </c>
      <c r="D22" s="282">
        <v>0.53715189873417712</v>
      </c>
      <c r="E22" s="282">
        <v>0.55011848341232228</v>
      </c>
      <c r="F22" s="282">
        <v>0.58318584070796453</v>
      </c>
      <c r="G22" s="282">
        <v>0.61117021276595762</v>
      </c>
      <c r="H22" s="282">
        <v>0.67221458046767513</v>
      </c>
      <c r="I22" s="282">
        <v>0.57344139650872816</v>
      </c>
      <c r="J22" s="282">
        <v>0.5152278177458034</v>
      </c>
      <c r="K22" s="282">
        <v>0.68087697929354452</v>
      </c>
      <c r="L22" s="282">
        <v>0.54363519107324976</v>
      </c>
      <c r="M22" s="282">
        <v>0.59717802673696108</v>
      </c>
      <c r="N22" s="282">
        <v>0.62282798848820164</v>
      </c>
      <c r="O22" s="282">
        <v>0.59805239851967396</v>
      </c>
      <c r="P22" s="282">
        <v>0.5769450344139051</v>
      </c>
      <c r="Q22" s="282">
        <v>0.60390176799513817</v>
      </c>
      <c r="S22" s="269">
        <v>2.25</v>
      </c>
      <c r="U22" s="283">
        <f t="shared" si="5"/>
        <v>1.125</v>
      </c>
      <c r="V22" s="269">
        <f t="shared" si="6"/>
        <v>4.5</v>
      </c>
    </row>
    <row r="23" spans="1:22" ht="24" customHeight="1" x14ac:dyDescent="0.25">
      <c r="A23" s="279" t="s">
        <v>188</v>
      </c>
      <c r="B23" s="280" t="s">
        <v>166</v>
      </c>
      <c r="C23" s="281" t="s">
        <v>167</v>
      </c>
      <c r="D23" s="284">
        <v>0.05</v>
      </c>
      <c r="E23" s="284">
        <v>5.000000000000001E-2</v>
      </c>
      <c r="F23" s="284">
        <v>4.9999999999999996E-2</v>
      </c>
      <c r="G23" s="284">
        <v>5.0000000000000017E-2</v>
      </c>
      <c r="H23" s="284">
        <v>4.9999999999999996E-2</v>
      </c>
      <c r="I23" s="284">
        <v>0.05</v>
      </c>
      <c r="J23" s="284">
        <v>5.0000000000000017E-2</v>
      </c>
      <c r="K23" s="284">
        <v>5.000000000000001E-2</v>
      </c>
      <c r="L23" s="284">
        <v>0.05</v>
      </c>
      <c r="M23" s="284">
        <v>0.05</v>
      </c>
      <c r="N23" s="284">
        <v>0.05</v>
      </c>
      <c r="O23" s="284">
        <v>5.0000000000000017E-2</v>
      </c>
      <c r="P23" s="284">
        <v>0.05</v>
      </c>
      <c r="Q23" s="284">
        <v>5.000000000000001E-2</v>
      </c>
      <c r="R23" s="288"/>
      <c r="S23" s="289">
        <v>0.22</v>
      </c>
      <c r="U23" s="283">
        <f t="shared" si="5"/>
        <v>0.11</v>
      </c>
      <c r="V23" s="269">
        <f t="shared" si="6"/>
        <v>0.44</v>
      </c>
    </row>
    <row r="24" spans="1:22" ht="24" customHeight="1" x14ac:dyDescent="0.25">
      <c r="A24" s="279" t="s">
        <v>189</v>
      </c>
      <c r="B24" s="290" t="s">
        <v>174</v>
      </c>
      <c r="C24" s="281" t="s">
        <v>162</v>
      </c>
      <c r="D24" s="282">
        <v>38.6</v>
      </c>
      <c r="E24" s="282">
        <v>35.9</v>
      </c>
      <c r="F24" s="282">
        <v>43.4</v>
      </c>
      <c r="G24" s="282">
        <v>40.4</v>
      </c>
      <c r="H24" s="282">
        <v>43.2</v>
      </c>
      <c r="I24" s="282">
        <v>36.799999999999997</v>
      </c>
      <c r="J24" s="282">
        <v>34.9</v>
      </c>
      <c r="K24" s="282">
        <v>34.9</v>
      </c>
      <c r="L24" s="282">
        <v>37.25</v>
      </c>
      <c r="M24" s="282">
        <v>41.9</v>
      </c>
      <c r="N24" s="282">
        <v>40</v>
      </c>
      <c r="O24" s="282">
        <v>34.9</v>
      </c>
      <c r="P24" s="282">
        <v>40.024999999999999</v>
      </c>
      <c r="Q24" s="282">
        <v>37</v>
      </c>
      <c r="R24" s="291"/>
      <c r="S24" s="292">
        <v>36.700000000000003</v>
      </c>
      <c r="U24" s="269">
        <f>S24-((20/100)*S24)</f>
        <v>29.360000000000003</v>
      </c>
      <c r="V24" s="269">
        <f>S24+((20/100)*S24)</f>
        <v>44.040000000000006</v>
      </c>
    </row>
    <row r="25" spans="1:22" ht="24" customHeight="1" x14ac:dyDescent="0.25">
      <c r="A25" s="279" t="s">
        <v>190</v>
      </c>
      <c r="B25" s="280" t="s">
        <v>191</v>
      </c>
      <c r="C25" s="281" t="s">
        <v>192</v>
      </c>
      <c r="D25" s="285">
        <v>3818.8468354430374</v>
      </c>
      <c r="E25" s="285">
        <v>4290.8862559241707</v>
      </c>
      <c r="F25" s="285">
        <v>4231.9469026548668</v>
      </c>
      <c r="G25" s="285">
        <v>4246.3510638297885</v>
      </c>
      <c r="H25" s="285">
        <v>3842.9463548830804</v>
      </c>
      <c r="I25" s="285">
        <v>4112.5162094763091</v>
      </c>
      <c r="J25" s="285">
        <v>3906.8705035971234</v>
      </c>
      <c r="K25" s="285">
        <v>3773.9110840438484</v>
      </c>
      <c r="L25" s="285">
        <v>4054.8665456836043</v>
      </c>
      <c r="M25" s="285">
        <v>4239.1489832423276</v>
      </c>
      <c r="N25" s="285">
        <v>3977.731282179695</v>
      </c>
      <c r="O25" s="285">
        <v>3840.3907938204857</v>
      </c>
      <c r="P25" s="285">
        <v>3950.152649144527</v>
      </c>
      <c r="Q25" s="285">
        <v>4105.9161533185297</v>
      </c>
      <c r="S25" s="269">
        <v>4108</v>
      </c>
      <c r="U25" s="269">
        <f>S25-300</f>
        <v>3808</v>
      </c>
      <c r="V25" s="269">
        <f>S25+300</f>
        <v>4408</v>
      </c>
    </row>
    <row r="26" spans="1:22" ht="24" customHeight="1" x14ac:dyDescent="0.25">
      <c r="A26" s="279" t="s">
        <v>193</v>
      </c>
      <c r="B26" s="280" t="s">
        <v>164</v>
      </c>
      <c r="C26" s="281" t="s">
        <v>162</v>
      </c>
      <c r="D26" s="282">
        <v>36.362151898734169</v>
      </c>
      <c r="E26" s="282">
        <v>40.018601895734605</v>
      </c>
      <c r="F26" s="282">
        <v>39.928982300884961</v>
      </c>
      <c r="G26" s="282">
        <v>40.556249999999999</v>
      </c>
      <c r="H26" s="282">
        <v>36.647867950481427</v>
      </c>
      <c r="I26" s="282">
        <v>39.241271820448866</v>
      </c>
      <c r="J26" s="282">
        <v>37.151199040767381</v>
      </c>
      <c r="K26" s="282">
        <v>37.001583434835574</v>
      </c>
      <c r="L26" s="282">
        <v>38.190376897234387</v>
      </c>
      <c r="M26" s="282">
        <v>40.24261615044248</v>
      </c>
      <c r="N26" s="282">
        <v>37.944569885465143</v>
      </c>
      <c r="O26" s="282">
        <v>37.076391237801474</v>
      </c>
      <c r="P26" s="282">
        <v>37.52255029771699</v>
      </c>
      <c r="Q26" s="282">
        <v>39.204426787754763</v>
      </c>
    </row>
    <row r="27" spans="1:22" ht="24" customHeight="1" x14ac:dyDescent="0.25">
      <c r="A27" s="279" t="s">
        <v>194</v>
      </c>
      <c r="B27" s="280" t="s">
        <v>164</v>
      </c>
      <c r="C27" s="281" t="s">
        <v>162</v>
      </c>
      <c r="D27" s="284">
        <v>4.904582278481012</v>
      </c>
      <c r="E27" s="284">
        <v>5.4296090047393379</v>
      </c>
      <c r="F27" s="284">
        <v>5.4106637168141587</v>
      </c>
      <c r="G27" s="284">
        <v>5.4529255319148948</v>
      </c>
      <c r="H27" s="284">
        <v>4.9318707015130663</v>
      </c>
      <c r="I27" s="284">
        <v>5.2785411471321702</v>
      </c>
      <c r="J27" s="284">
        <v>4.9978417266187067</v>
      </c>
      <c r="K27" s="284">
        <v>4.8875395858708899</v>
      </c>
      <c r="L27" s="284">
        <v>5.1670956416101745</v>
      </c>
      <c r="M27" s="284">
        <v>5.4317946243645263</v>
      </c>
      <c r="N27" s="284">
        <v>5.1052059243226182</v>
      </c>
      <c r="O27" s="284">
        <v>4.9426906562447979</v>
      </c>
      <c r="P27" s="284">
        <v>5.0612396058567359</v>
      </c>
      <c r="Q27" s="284">
        <v>5.2621538174143234</v>
      </c>
      <c r="S27" s="269">
        <v>5.2</v>
      </c>
      <c r="T27" s="269">
        <f t="shared" ref="T27" si="7">(20/100)*S27</f>
        <v>1.04</v>
      </c>
      <c r="U27" s="269">
        <f>S27-T27</f>
        <v>4.16</v>
      </c>
      <c r="V27" s="269">
        <f>S27+T27</f>
        <v>6.24</v>
      </c>
    </row>
    <row r="28" spans="1:22" ht="24" customHeight="1" x14ac:dyDescent="0.25">
      <c r="A28" s="279" t="s">
        <v>195</v>
      </c>
      <c r="B28" s="579" t="s">
        <v>191</v>
      </c>
      <c r="C28" s="281" t="s">
        <v>192</v>
      </c>
      <c r="D28" s="285">
        <v>3577.3425316455696</v>
      </c>
      <c r="E28" s="285">
        <v>4023.5355213270141</v>
      </c>
      <c r="F28" s="285">
        <v>3965.5042477876104</v>
      </c>
      <c r="G28" s="285">
        <v>3977.8407712765966</v>
      </c>
      <c r="H28" s="285">
        <v>3600.1051169188431</v>
      </c>
      <c r="I28" s="285">
        <v>3852.6264339152126</v>
      </c>
      <c r="J28" s="285">
        <v>3660.7831894484416</v>
      </c>
      <c r="K28" s="285">
        <v>3533.2596589524974</v>
      </c>
      <c r="L28" s="285">
        <v>3800.4390264862918</v>
      </c>
      <c r="M28" s="285">
        <v>3971.6725095321035</v>
      </c>
      <c r="N28" s="285">
        <v>3726.3657754170281</v>
      </c>
      <c r="O28" s="285">
        <v>3597.0214242004695</v>
      </c>
      <c r="P28" s="285">
        <v>3700.9337714501162</v>
      </c>
      <c r="Q28" s="285">
        <v>3846.81559636783</v>
      </c>
      <c r="S28" s="269">
        <v>3850</v>
      </c>
      <c r="U28" s="269">
        <f>S28-300</f>
        <v>3550</v>
      </c>
      <c r="V28" s="269">
        <f>S28+300</f>
        <v>4150</v>
      </c>
    </row>
    <row r="29" spans="1:22" ht="24" customHeight="1" x14ac:dyDescent="0.25">
      <c r="A29" s="279" t="s">
        <v>196</v>
      </c>
      <c r="B29" s="579"/>
      <c r="C29" s="281" t="s">
        <v>192</v>
      </c>
      <c r="D29" s="285">
        <v>1984.1883144303795</v>
      </c>
      <c r="E29" s="285">
        <v>2381.6362691706158</v>
      </c>
      <c r="F29" s="285">
        <v>2005.7754042477875</v>
      </c>
      <c r="G29" s="285">
        <v>2148.593099680852</v>
      </c>
      <c r="H29" s="285">
        <v>1807.2597064099027</v>
      </c>
      <c r="I29" s="285">
        <v>2232.4599062344141</v>
      </c>
      <c r="J29" s="285">
        <v>2191.2198563309353</v>
      </c>
      <c r="K29" s="285">
        <v>2108.2020379780761</v>
      </c>
      <c r="L29" s="285">
        <v>2182.9122918004978</v>
      </c>
      <c r="M29" s="285">
        <v>2077.1842519643196</v>
      </c>
      <c r="N29" s="285">
        <v>2019.8598063221584</v>
      </c>
      <c r="O29" s="285">
        <v>2149.7109471545054</v>
      </c>
      <c r="P29" s="285">
        <v>1997.1108203547515</v>
      </c>
      <c r="Q29" s="285">
        <v>2217.7228282659894</v>
      </c>
      <c r="S29" s="269">
        <v>2221</v>
      </c>
      <c r="U29" s="269">
        <f t="shared" ref="U29:U31" si="8">S29-300</f>
        <v>1921</v>
      </c>
      <c r="V29" s="269">
        <f t="shared" ref="V29:V31" si="9">S29+300</f>
        <v>2521</v>
      </c>
    </row>
    <row r="30" spans="1:22" ht="24" customHeight="1" x14ac:dyDescent="0.25">
      <c r="A30" s="279" t="s">
        <v>197</v>
      </c>
      <c r="B30" s="290" t="s">
        <v>172</v>
      </c>
      <c r="C30" s="286" t="s">
        <v>192</v>
      </c>
      <c r="D30" s="285">
        <v>3921.8088607594923</v>
      </c>
      <c r="E30" s="285">
        <v>4449.6943127962077</v>
      </c>
      <c r="F30" s="285">
        <v>4305.8318584070803</v>
      </c>
      <c r="G30" s="285">
        <v>4259.5837765957458</v>
      </c>
      <c r="H30" s="285">
        <v>3961.323246217331</v>
      </c>
      <c r="I30" s="285">
        <v>4139.463840399002</v>
      </c>
      <c r="J30" s="285">
        <v>4028.5659472422071</v>
      </c>
      <c r="K30" s="285">
        <v>3833.3020706455541</v>
      </c>
      <c r="L30" s="285">
        <v>4185.7515867778502</v>
      </c>
      <c r="M30" s="285">
        <v>4282.707817501413</v>
      </c>
      <c r="N30" s="285">
        <v>4050.3935433081665</v>
      </c>
      <c r="O30" s="285">
        <v>3930.9340089438806</v>
      </c>
      <c r="P30" s="285">
        <v>4054.3824781565277</v>
      </c>
      <c r="Q30" s="285">
        <v>4170.5110001091271</v>
      </c>
      <c r="S30" s="269">
        <v>3850</v>
      </c>
      <c r="U30" s="269">
        <f t="shared" si="8"/>
        <v>3550</v>
      </c>
      <c r="V30" s="269">
        <f t="shared" si="9"/>
        <v>4150</v>
      </c>
    </row>
    <row r="31" spans="1:22" ht="24" customHeight="1" x14ac:dyDescent="0.25">
      <c r="A31" s="279" t="s">
        <v>198</v>
      </c>
      <c r="B31" s="290" t="s">
        <v>172</v>
      </c>
      <c r="C31" s="286" t="s">
        <v>192</v>
      </c>
      <c r="D31" s="285">
        <v>2195.6906405063282</v>
      </c>
      <c r="E31" s="285">
        <v>2654.8040545023687</v>
      </c>
      <c r="F31" s="285">
        <v>2198.4008318584079</v>
      </c>
      <c r="G31" s="285">
        <v>2316.5119308510648</v>
      </c>
      <c r="H31" s="285">
        <v>2012.4316038514439</v>
      </c>
      <c r="I31" s="285">
        <v>2413.7411471321693</v>
      </c>
      <c r="J31" s="285">
        <v>2430.6464316546767</v>
      </c>
      <c r="K31" s="285">
        <v>2303.5296479902559</v>
      </c>
      <c r="L31" s="285">
        <v>2425.2473475043485</v>
      </c>
      <c r="M31" s="285">
        <v>2257.4563813547365</v>
      </c>
      <c r="N31" s="285">
        <v>2213.0863754918064</v>
      </c>
      <c r="O31" s="285">
        <v>2367.0880398224663</v>
      </c>
      <c r="P31" s="285">
        <v>2209.2923769677145</v>
      </c>
      <c r="Q31" s="285">
        <v>2422.1466951189645</v>
      </c>
      <c r="S31" s="269">
        <v>2221</v>
      </c>
      <c r="U31" s="269">
        <f t="shared" si="8"/>
        <v>1921</v>
      </c>
      <c r="V31" s="269">
        <f t="shared" si="9"/>
        <v>2521</v>
      </c>
    </row>
  </sheetData>
  <mergeCells count="8">
    <mergeCell ref="B12:B14"/>
    <mergeCell ref="B28:B29"/>
    <mergeCell ref="D1:G1"/>
    <mergeCell ref="H1:K1"/>
    <mergeCell ref="D2:G2"/>
    <mergeCell ref="H2:K2"/>
    <mergeCell ref="D3:G3"/>
    <mergeCell ref="H3:K3"/>
  </mergeCells>
  <conditionalFormatting sqref="D5">
    <cfRule type="expression" dxfId="210" priority="97">
      <formula>D5&lt;$V$5</formula>
    </cfRule>
    <cfRule type="expression" dxfId="209" priority="98">
      <formula>D5&gt;$U$5</formula>
    </cfRule>
  </conditionalFormatting>
  <conditionalFormatting sqref="E5:K5">
    <cfRule type="expression" dxfId="208" priority="95">
      <formula>E5&lt;$V$5</formula>
    </cfRule>
    <cfRule type="expression" dxfId="207" priority="96">
      <formula>E5&gt;$U$5</formula>
    </cfRule>
  </conditionalFormatting>
  <conditionalFormatting sqref="D9">
    <cfRule type="expression" dxfId="206" priority="93">
      <formula>D9&lt;$V$9</formula>
    </cfRule>
    <cfRule type="expression" dxfId="205" priority="94">
      <formula>D9&gt;$U$9</formula>
    </cfRule>
  </conditionalFormatting>
  <conditionalFormatting sqref="E9:K9">
    <cfRule type="expression" dxfId="204" priority="91">
      <formula>E9&lt;$V$9</formula>
    </cfRule>
    <cfRule type="expression" dxfId="203" priority="92">
      <formula>E9&gt;$U$9</formula>
    </cfRule>
  </conditionalFormatting>
  <conditionalFormatting sqref="D10">
    <cfRule type="expression" dxfId="202" priority="89">
      <formula>D10&lt;$V$10</formula>
    </cfRule>
    <cfRule type="expression" dxfId="201" priority="90">
      <formula>D10&gt;$U$10</formula>
    </cfRule>
  </conditionalFormatting>
  <conditionalFormatting sqref="E10:K10">
    <cfRule type="expression" dxfId="200" priority="87">
      <formula>E10&lt;$V$10</formula>
    </cfRule>
    <cfRule type="expression" dxfId="199" priority="88">
      <formula>E10&gt;$U$10</formula>
    </cfRule>
  </conditionalFormatting>
  <conditionalFormatting sqref="D11">
    <cfRule type="expression" dxfId="198" priority="85">
      <formula>D11&lt;$V$11</formula>
    </cfRule>
    <cfRule type="expression" dxfId="197" priority="86">
      <formula>D11&gt;$U$11</formula>
    </cfRule>
  </conditionalFormatting>
  <conditionalFormatting sqref="E11:K11">
    <cfRule type="expression" dxfId="196" priority="83">
      <formula>E11&lt;$V$11</formula>
    </cfRule>
    <cfRule type="expression" dxfId="195" priority="84">
      <formula>E11&gt;$U$11</formula>
    </cfRule>
  </conditionalFormatting>
  <conditionalFormatting sqref="D12:K12">
    <cfRule type="cellIs" dxfId="194" priority="81" operator="lessThan">
      <formula>$U$12</formula>
    </cfRule>
    <cfRule type="cellIs" dxfId="193" priority="82" operator="greaterThan">
      <formula>$V$12</formula>
    </cfRule>
  </conditionalFormatting>
  <conditionalFormatting sqref="D13:K13">
    <cfRule type="cellIs" dxfId="192" priority="79" operator="lessThan">
      <formula>$U$13</formula>
    </cfRule>
    <cfRule type="cellIs" dxfId="191" priority="80" operator="greaterThan">
      <formula>$V$13</formula>
    </cfRule>
  </conditionalFormatting>
  <conditionalFormatting sqref="D14:K14">
    <cfRule type="cellIs" dxfId="190" priority="77" operator="lessThan">
      <formula>$U$14</formula>
    </cfRule>
    <cfRule type="cellIs" dxfId="189" priority="78" operator="greaterThan">
      <formula>$V$14</formula>
    </cfRule>
  </conditionalFormatting>
  <conditionalFormatting sqref="D16:K16">
    <cfRule type="cellIs" dxfId="188" priority="75" operator="lessThan">
      <formula>$U$16</formula>
    </cfRule>
    <cfRule type="cellIs" dxfId="187" priority="76" operator="greaterThan">
      <formula>$V$16</formula>
    </cfRule>
  </conditionalFormatting>
  <conditionalFormatting sqref="D17:K17">
    <cfRule type="cellIs" dxfId="186" priority="73" operator="lessThan">
      <formula>$U$17</formula>
    </cfRule>
    <cfRule type="cellIs" dxfId="185" priority="74" operator="greaterThan">
      <formula>$V$17</formula>
    </cfRule>
  </conditionalFormatting>
  <conditionalFormatting sqref="D18:K18">
    <cfRule type="cellIs" dxfId="184" priority="71" operator="lessThan">
      <formula>$U$18</formula>
    </cfRule>
    <cfRule type="cellIs" dxfId="183" priority="72" operator="greaterThan">
      <formula>$V$18</formula>
    </cfRule>
  </conditionalFormatting>
  <conditionalFormatting sqref="D19:K19">
    <cfRule type="cellIs" dxfId="182" priority="69" operator="lessThan">
      <formula>$U$19</formula>
    </cfRule>
    <cfRule type="cellIs" dxfId="181" priority="70" operator="greaterThan">
      <formula>$V$19</formula>
    </cfRule>
  </conditionalFormatting>
  <conditionalFormatting sqref="D20:K20">
    <cfRule type="cellIs" dxfId="180" priority="67" operator="lessThan">
      <formula>$U$20</formula>
    </cfRule>
    <cfRule type="cellIs" dxfId="179" priority="68" operator="greaterThan">
      <formula>$V$20</formula>
    </cfRule>
  </conditionalFormatting>
  <conditionalFormatting sqref="D21:K21">
    <cfRule type="cellIs" dxfId="178" priority="65" operator="lessThan">
      <formula>$U$21</formula>
    </cfRule>
    <cfRule type="cellIs" dxfId="177" priority="66" operator="greaterThan">
      <formula>$V$21</formula>
    </cfRule>
  </conditionalFormatting>
  <conditionalFormatting sqref="D22:K22">
    <cfRule type="cellIs" dxfId="176" priority="63" operator="lessThan">
      <formula>$U$22</formula>
    </cfRule>
    <cfRule type="cellIs" dxfId="175" priority="64" operator="greaterThan">
      <formula>$V$22</formula>
    </cfRule>
  </conditionalFormatting>
  <conditionalFormatting sqref="D23:K23">
    <cfRule type="cellIs" dxfId="174" priority="61" operator="lessThan">
      <formula>$U$23</formula>
    </cfRule>
    <cfRule type="cellIs" dxfId="173" priority="62" operator="greaterThan">
      <formula>$V$23</formula>
    </cfRule>
  </conditionalFormatting>
  <conditionalFormatting sqref="D24:K24">
    <cfRule type="cellIs" dxfId="172" priority="59" operator="lessThan">
      <formula>$U$24</formula>
    </cfRule>
    <cfRule type="cellIs" dxfId="171" priority="60" operator="greaterThan">
      <formula>$V$24</formula>
    </cfRule>
  </conditionalFormatting>
  <conditionalFormatting sqref="D25:K25">
    <cfRule type="cellIs" dxfId="170" priority="57" operator="lessThan">
      <formula>$U$25</formula>
    </cfRule>
    <cfRule type="cellIs" dxfId="169" priority="58" operator="greaterThan">
      <formula>$V$25</formula>
    </cfRule>
  </conditionalFormatting>
  <conditionalFormatting sqref="D27:K27">
    <cfRule type="cellIs" dxfId="168" priority="55" operator="lessThan">
      <formula>$U$27</formula>
    </cfRule>
    <cfRule type="cellIs" dxfId="167" priority="56" operator="greaterThan">
      <formula>$V$27</formula>
    </cfRule>
  </conditionalFormatting>
  <conditionalFormatting sqref="D28">
    <cfRule type="cellIs" dxfId="166" priority="53" operator="lessThan">
      <formula>$U$28</formula>
    </cfRule>
    <cfRule type="cellIs" dxfId="165" priority="54" operator="greaterThan">
      <formula>$V$28</formula>
    </cfRule>
  </conditionalFormatting>
  <conditionalFormatting sqref="E28:K28">
    <cfRule type="cellIs" dxfId="164" priority="51" operator="lessThan">
      <formula>$U$28</formula>
    </cfRule>
    <cfRule type="cellIs" dxfId="163" priority="52" operator="greaterThan">
      <formula>$V$28</formula>
    </cfRule>
  </conditionalFormatting>
  <conditionalFormatting sqref="D29:K29">
    <cfRule type="cellIs" dxfId="162" priority="49" operator="lessThan">
      <formula>$U$29</formula>
    </cfRule>
    <cfRule type="cellIs" dxfId="161" priority="50" operator="greaterThan">
      <formula>$V$29</formula>
    </cfRule>
  </conditionalFormatting>
  <conditionalFormatting sqref="D30:K30">
    <cfRule type="cellIs" dxfId="160" priority="47" operator="lessThan">
      <formula>$U$30</formula>
    </cfRule>
    <cfRule type="cellIs" dxfId="159" priority="48" operator="greaterThan">
      <formula>$V$30</formula>
    </cfRule>
  </conditionalFormatting>
  <conditionalFormatting sqref="D31:K31">
    <cfRule type="cellIs" dxfId="158" priority="45" operator="lessThan">
      <formula>$U$31</formula>
    </cfRule>
    <cfRule type="cellIs" dxfId="157" priority="46" operator="greaterThan">
      <formula>$V$31</formula>
    </cfRule>
  </conditionalFormatting>
  <conditionalFormatting sqref="L5:Q5">
    <cfRule type="expression" dxfId="156" priority="43">
      <formula>L5&lt;$V$5</formula>
    </cfRule>
    <cfRule type="expression" dxfId="155" priority="44">
      <formula>L5&gt;$U$5</formula>
    </cfRule>
  </conditionalFormatting>
  <conditionalFormatting sqref="L9:Q9">
    <cfRule type="expression" dxfId="154" priority="41">
      <formula>L9&lt;$V$9</formula>
    </cfRule>
    <cfRule type="expression" dxfId="153" priority="42">
      <formula>L9&gt;$U$9</formula>
    </cfRule>
  </conditionalFormatting>
  <conditionalFormatting sqref="L10:Q10">
    <cfRule type="expression" dxfId="152" priority="39">
      <formula>L10&lt;$V$10</formula>
    </cfRule>
    <cfRule type="expression" dxfId="151" priority="40">
      <formula>L10&gt;$U$10</formula>
    </cfRule>
  </conditionalFormatting>
  <conditionalFormatting sqref="L11:Q11">
    <cfRule type="expression" dxfId="150" priority="37">
      <formula>L11&lt;$V$11</formula>
    </cfRule>
    <cfRule type="expression" dxfId="149" priority="38">
      <formula>L11&gt;$U$11</formula>
    </cfRule>
  </conditionalFormatting>
  <conditionalFormatting sqref="L12:Q12">
    <cfRule type="cellIs" dxfId="148" priority="35" operator="lessThan">
      <formula>$U$12</formula>
    </cfRule>
    <cfRule type="cellIs" dxfId="147" priority="36" operator="greaterThan">
      <formula>$V$12</formula>
    </cfRule>
  </conditionalFormatting>
  <conditionalFormatting sqref="L13:Q13">
    <cfRule type="cellIs" dxfId="146" priority="33" operator="lessThan">
      <formula>$U$13</formula>
    </cfRule>
    <cfRule type="cellIs" dxfId="145" priority="34" operator="greaterThan">
      <formula>$V$13</formula>
    </cfRule>
  </conditionalFormatting>
  <conditionalFormatting sqref="L14:Q14">
    <cfRule type="cellIs" dxfId="144" priority="31" operator="lessThan">
      <formula>$U$14</formula>
    </cfRule>
    <cfRule type="cellIs" dxfId="143" priority="32" operator="greaterThan">
      <formula>$V$14</formula>
    </cfRule>
  </conditionalFormatting>
  <conditionalFormatting sqref="L16:Q16">
    <cfRule type="cellIs" dxfId="142" priority="29" operator="lessThan">
      <formula>$U$16</formula>
    </cfRule>
    <cfRule type="cellIs" dxfId="141" priority="30" operator="greaterThan">
      <formula>$V$16</formula>
    </cfRule>
  </conditionalFormatting>
  <conditionalFormatting sqref="L17:Q17">
    <cfRule type="cellIs" dxfId="140" priority="27" operator="lessThan">
      <formula>$U$17</formula>
    </cfRule>
    <cfRule type="cellIs" dxfId="139" priority="28" operator="greaterThan">
      <formula>$V$17</formula>
    </cfRule>
  </conditionalFormatting>
  <conditionalFormatting sqref="L18:Q18">
    <cfRule type="cellIs" dxfId="138" priority="25" operator="lessThan">
      <formula>$U$18</formula>
    </cfRule>
    <cfRule type="cellIs" dxfId="137" priority="26" operator="greaterThan">
      <formula>$V$18</formula>
    </cfRule>
  </conditionalFormatting>
  <conditionalFormatting sqref="L19:Q19">
    <cfRule type="cellIs" dxfId="136" priority="23" operator="lessThan">
      <formula>$U$19</formula>
    </cfRule>
    <cfRule type="cellIs" dxfId="135" priority="24" operator="greaterThan">
      <formula>$V$19</formula>
    </cfRule>
  </conditionalFormatting>
  <conditionalFormatting sqref="L20:Q20">
    <cfRule type="cellIs" dxfId="134" priority="21" operator="lessThan">
      <formula>$U$20</formula>
    </cfRule>
    <cfRule type="cellIs" dxfId="133" priority="22" operator="greaterThan">
      <formula>$V$20</formula>
    </cfRule>
  </conditionalFormatting>
  <conditionalFormatting sqref="L21:Q21">
    <cfRule type="cellIs" dxfId="132" priority="19" operator="lessThan">
      <formula>$U$21</formula>
    </cfRule>
    <cfRule type="cellIs" dxfId="131" priority="20" operator="greaterThan">
      <formula>$V$21</formula>
    </cfRule>
  </conditionalFormatting>
  <conditionalFormatting sqref="L22:Q22">
    <cfRule type="cellIs" dxfId="130" priority="17" operator="lessThan">
      <formula>$U$22</formula>
    </cfRule>
    <cfRule type="cellIs" dxfId="129" priority="18" operator="greaterThan">
      <formula>$V$22</formula>
    </cfRule>
  </conditionalFormatting>
  <conditionalFormatting sqref="L23:Q23">
    <cfRule type="cellIs" dxfId="128" priority="15" operator="lessThan">
      <formula>$U$23</formula>
    </cfRule>
    <cfRule type="cellIs" dxfId="127" priority="16" operator="greaterThan">
      <formula>$V$23</formula>
    </cfRule>
  </conditionalFormatting>
  <conditionalFormatting sqref="L24:Q24">
    <cfRule type="cellIs" dxfId="126" priority="13" operator="lessThan">
      <formula>$U$24</formula>
    </cfRule>
    <cfRule type="cellIs" dxfId="125" priority="14" operator="greaterThan">
      <formula>$V$24</formula>
    </cfRule>
  </conditionalFormatting>
  <conditionalFormatting sqref="L25:Q25">
    <cfRule type="cellIs" dxfId="124" priority="11" operator="lessThan">
      <formula>$U$25</formula>
    </cfRule>
    <cfRule type="cellIs" dxfId="123" priority="12" operator="greaterThan">
      <formula>$V$25</formula>
    </cfRule>
  </conditionalFormatting>
  <conditionalFormatting sqref="L27:Q27">
    <cfRule type="cellIs" dxfId="122" priority="9" operator="lessThan">
      <formula>$U$27</formula>
    </cfRule>
    <cfRule type="cellIs" dxfId="121" priority="10" operator="greaterThan">
      <formula>$V$27</formula>
    </cfRule>
  </conditionalFormatting>
  <conditionalFormatting sqref="L28:Q28">
    <cfRule type="cellIs" dxfId="120" priority="7" operator="lessThan">
      <formula>$U$28</formula>
    </cfRule>
    <cfRule type="cellIs" dxfId="119" priority="8" operator="greaterThan">
      <formula>$V$28</formula>
    </cfRule>
  </conditionalFormatting>
  <conditionalFormatting sqref="L29:Q29">
    <cfRule type="cellIs" dxfId="118" priority="5" operator="lessThan">
      <formula>$U$29</formula>
    </cfRule>
    <cfRule type="cellIs" dxfId="117" priority="6" operator="greaterThan">
      <formula>$V$29</formula>
    </cfRule>
  </conditionalFormatting>
  <conditionalFormatting sqref="L30:Q30">
    <cfRule type="cellIs" dxfId="116" priority="3" operator="lessThan">
      <formula>$U$30</formula>
    </cfRule>
    <cfRule type="cellIs" dxfId="115" priority="4" operator="greaterThan">
      <formula>$V$30</formula>
    </cfRule>
  </conditionalFormatting>
  <conditionalFormatting sqref="L31:Q31">
    <cfRule type="cellIs" dxfId="114" priority="1" operator="lessThan">
      <formula>$U$31</formula>
    </cfRule>
    <cfRule type="cellIs" dxfId="113" priority="2" operator="greaterThan">
      <formula>$V$31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&amp;L&amp;"Rockwell,Gras"&amp;P/&amp;N&amp;C&amp;"Rockwell,Gras"&amp;D&amp;R&amp;"Rockwell,Gras"&amp;F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cols>
    <col min="2" max="2" width="29.28515625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'[2]F 1 _ Echant et Séchage'!D5</f>
        <v>ISS H15 PB PAR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'[2]F 1 _ Echant et Séchage'!D6</f>
        <v>AV 687 AZ paris 16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'[2]F 1 _ Echant et Séchage'!D8</f>
        <v>ISSEANE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'[2]F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'[2]F 1 _ Echant et Séchage'!B12</f>
        <v>42047</v>
      </c>
      <c r="D9" s="485" t="s">
        <v>6</v>
      </c>
      <c r="E9" s="485"/>
      <c r="F9" s="485"/>
      <c r="G9" s="6">
        <f>'[2]F 1 _ Echant et Séchage'!G19</f>
        <v>126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'[2]F 1 _ Echant et Séchage'!E12</f>
        <v>0.33333333333333331</v>
      </c>
      <c r="D10" s="485" t="s">
        <v>9</v>
      </c>
      <c r="E10" s="485"/>
      <c r="F10" s="485"/>
      <c r="G10" s="236">
        <f>'[2]F 1 _ Echant et Séchage'!H26</f>
        <v>0.59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0.21355932203389832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45">
        <f>'[2]F 1 _ Echant et Séchage'!D51</f>
        <v>0.38634126984126987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'[2]F 4 TRI _ Granulo'!K5</f>
        <v>6.0417490494296588</v>
      </c>
      <c r="D18" s="20">
        <f>'[2]F 4 TRI _ Granulo'!H5</f>
        <v>5.0000000000000044E-2</v>
      </c>
      <c r="E18" s="20">
        <f>'[2]F 4 TRI _ Granulo'!E5</f>
        <v>0</v>
      </c>
      <c r="F18" s="20">
        <f>SUM(C18:E18)</f>
        <v>6.0917490494296587</v>
      </c>
      <c r="G18" s="21">
        <f t="shared" ref="G18:G64" si="0">F18/$F$64</f>
        <v>7.7262423821670007E-2</v>
      </c>
      <c r="H18" s="21">
        <f>G18*J18/I18</f>
        <v>0.17128344602610562</v>
      </c>
      <c r="I18" s="492">
        <f>G18+G19+G20+G21+G22</f>
        <v>8.0940530507693467E-2</v>
      </c>
      <c r="J18" s="492">
        <f>'[2]Calcul sous cat &gt;20'!N8/100</f>
        <v>0.1794374587644047</v>
      </c>
    </row>
    <row r="19" spans="1:10" s="1" customFormat="1" ht="15" customHeight="1" x14ac:dyDescent="0.2">
      <c r="A19" s="498"/>
      <c r="B19" s="18" t="s">
        <v>27</v>
      </c>
      <c r="C19" s="19">
        <f>'[2]F 4 TRI _ Granulo'!K6</f>
        <v>0</v>
      </c>
      <c r="D19" s="20">
        <f>'[2]F 4 TRI _ Granulo'!H6</f>
        <v>0.29000000000000004</v>
      </c>
      <c r="E19" s="20">
        <f>'[2]F 4 TRI _ Granulo'!E6</f>
        <v>0</v>
      </c>
      <c r="F19" s="20">
        <f>SUM(C19:E19)</f>
        <v>0.29000000000000004</v>
      </c>
      <c r="G19" s="21">
        <f t="shared" si="0"/>
        <v>3.6781066860234633E-3</v>
      </c>
      <c r="H19" s="21">
        <f>G19*J18/I18</f>
        <v>8.1540127382990629E-3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'[2]F 4 TRI _ Granulo'!K7</f>
        <v>0</v>
      </c>
      <c r="D20" s="20">
        <f>'[2]F 4 TRI _ Granulo'!H7</f>
        <v>0</v>
      </c>
      <c r="E20" s="20">
        <f>'[2]F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'[2]F 4 TRI _ Granulo'!K8</f>
        <v>0</v>
      </c>
      <c r="D21" s="20">
        <f>'[2]F 4 TRI _ Granulo'!H8</f>
        <v>0</v>
      </c>
      <c r="E21" s="20">
        <f>'[2]F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'[2]F 4 TRI _ Granulo'!K9</f>
        <v>0</v>
      </c>
      <c r="D22" s="20">
        <f>'[2]F 4 TRI _ Granulo'!H9</f>
        <v>0</v>
      </c>
      <c r="E22" s="20">
        <f>'[2]F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'[2]F 4 TRI _ Granulo'!K10</f>
        <v>0.42547528517110311</v>
      </c>
      <c r="D23" s="20">
        <f>'[2]F 4 TRI _ Granulo'!H10</f>
        <v>0.43000000000000016</v>
      </c>
      <c r="E23" s="20">
        <f>'[2]F 4 TRI _ Granulo'!E10</f>
        <v>0</v>
      </c>
      <c r="F23" s="20">
        <f t="shared" si="1"/>
        <v>0.85547528517110327</v>
      </c>
      <c r="G23" s="21">
        <f t="shared" si="0"/>
        <v>1.0850101262467805E-2</v>
      </c>
      <c r="H23" s="21">
        <f>'[2]Calcul sous cat &gt;20'!N32/100</f>
        <v>1.0084158063198088E-2</v>
      </c>
      <c r="I23" s="496">
        <f>G23+G24+G25+G26+G27</f>
        <v>0.16562282445800608</v>
      </c>
      <c r="J23" s="496">
        <f>'[2]Calcul sous cat &gt;20'!N9/100</f>
        <v>0.15029629900576674</v>
      </c>
    </row>
    <row r="24" spans="1:10" s="1" customFormat="1" ht="15" customHeight="1" x14ac:dyDescent="0.2">
      <c r="A24" s="494"/>
      <c r="B24" s="18" t="s">
        <v>33</v>
      </c>
      <c r="C24" s="19">
        <f>'[2]F 4 TRI _ Granulo'!K11</f>
        <v>0</v>
      </c>
      <c r="D24" s="20">
        <f>'[2]F 4 TRI _ Granulo'!H11</f>
        <v>2.65</v>
      </c>
      <c r="E24" s="20">
        <f>'[2]F 4 TRI _ Granulo'!E11</f>
        <v>0</v>
      </c>
      <c r="F24" s="20">
        <f t="shared" si="1"/>
        <v>2.65</v>
      </c>
      <c r="G24" s="21">
        <f t="shared" si="0"/>
        <v>3.3610285234352333E-2</v>
      </c>
      <c r="H24" s="21">
        <f>'[2]Calcul sous cat &gt;20'!N33/100</f>
        <v>3.0198734537542463E-2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'[2]F 4 TRI _ Granulo'!K12</f>
        <v>0</v>
      </c>
      <c r="D25" s="20">
        <f>'[2]F 4 TRI _ Granulo'!H12</f>
        <v>1.5100000000000002</v>
      </c>
      <c r="E25" s="20">
        <f>'[2]F 4 TRI _ Granulo'!E12</f>
        <v>0</v>
      </c>
      <c r="F25" s="20">
        <f t="shared" si="1"/>
        <v>1.5100000000000002</v>
      </c>
      <c r="G25" s="21">
        <f t="shared" si="0"/>
        <v>1.915152102032907E-2</v>
      </c>
      <c r="H25" s="21">
        <f>'[2]Calcul sous cat &gt;20'!N34/100</f>
        <v>1.7207580811958154E-2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'[2]F 4 TRI _ Granulo'!K13</f>
        <v>2.4677566539923963</v>
      </c>
      <c r="D26" s="20">
        <f>'[2]F 4 TRI _ Granulo'!H13</f>
        <v>4.59</v>
      </c>
      <c r="E26" s="20">
        <f>'[2]F 4 TRI _ Granulo'!E13</f>
        <v>0</v>
      </c>
      <c r="F26" s="20">
        <f t="shared" si="1"/>
        <v>7.0577566539923957</v>
      </c>
      <c r="G26" s="21">
        <f t="shared" si="0"/>
        <v>8.9514420473710402E-2</v>
      </c>
      <c r="H26" s="21">
        <f>'[2]Calcul sous cat &gt;20'!N35/100</f>
        <v>8.1225857019192341E-2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'[2]F 4 TRI _ Granulo'!K14</f>
        <v>0.25528517110266186</v>
      </c>
      <c r="D27" s="20">
        <f>'[2]F 4 TRI _ Granulo'!H14</f>
        <v>0.73</v>
      </c>
      <c r="E27" s="20">
        <f>'[2]F 4 TRI _ Granulo'!E14</f>
        <v>0</v>
      </c>
      <c r="F27" s="20">
        <f t="shared" si="1"/>
        <v>0.98528517110266178</v>
      </c>
      <c r="G27" s="21">
        <f t="shared" si="0"/>
        <v>1.2496496467146456E-2</v>
      </c>
      <c r="H27" s="21">
        <f>'[2]Calcul sous cat &gt;20'!N36/100</f>
        <v>1.1579968573875698E-2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'[2]F 4 TRI _ Granulo'!K15</f>
        <v>2.4677566539923963</v>
      </c>
      <c r="D28" s="20">
        <f>'[2]F 4 TRI _ Granulo'!H15</f>
        <v>0.37000000000000011</v>
      </c>
      <c r="E28" s="20">
        <f>'[2]F 4 TRI _ Granulo'!E15</f>
        <v>0</v>
      </c>
      <c r="F28" s="20">
        <f t="shared" si="1"/>
        <v>2.8377566539923964</v>
      </c>
      <c r="G28" s="21">
        <f t="shared" si="0"/>
        <v>3.5991626628817254E-2</v>
      </c>
      <c r="H28" s="21">
        <f>'[2]Calcul sous cat &gt;20'!N37/100</f>
        <v>3.2514151549679099E-2</v>
      </c>
      <c r="I28" s="496">
        <f>G28+G29+G30</f>
        <v>8.966054166498684E-2</v>
      </c>
      <c r="J28" s="496">
        <f>'[2]Calcul sous cat &gt;20'!N10/100</f>
        <v>8.1374119218950478E-2</v>
      </c>
    </row>
    <row r="29" spans="1:10" s="1" customFormat="1" ht="15" customHeight="1" x14ac:dyDescent="0.2">
      <c r="A29" s="494"/>
      <c r="B29" s="18" t="s">
        <v>39</v>
      </c>
      <c r="C29" s="19">
        <f>'[2]F 4 TRI _ Granulo'!K16</f>
        <v>0.25528517110266186</v>
      </c>
      <c r="D29" s="20">
        <f>'[2]F 4 TRI _ Granulo'!H16</f>
        <v>1.7600000000000002</v>
      </c>
      <c r="E29" s="20">
        <f>'[2]F 4 TRI _ Granulo'!E16</f>
        <v>0.78</v>
      </c>
      <c r="F29" s="20">
        <f t="shared" si="1"/>
        <v>2.7952851711026625</v>
      </c>
      <c r="G29" s="21">
        <f t="shared" si="0"/>
        <v>3.5452955438534287E-2</v>
      </c>
      <c r="H29" s="21">
        <f>'[2]Calcul sous cat &gt;20'!N38/100</f>
        <v>3.2054419606670798E-2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'[2]F 4 TRI _ Granulo'!K17</f>
        <v>1.106235741444868</v>
      </c>
      <c r="D30" s="20">
        <f>'[2]F 4 TRI _ Granulo'!H17</f>
        <v>5.0000000000000044E-2</v>
      </c>
      <c r="E30" s="20">
        <f>'[2]F 4 TRI _ Granulo'!E17</f>
        <v>0.28000000000000003</v>
      </c>
      <c r="F30" s="20">
        <f t="shared" si="1"/>
        <v>1.4362357414448681</v>
      </c>
      <c r="G30" s="21">
        <f t="shared" si="0"/>
        <v>1.8215959597635292E-2</v>
      </c>
      <c r="H30" s="21">
        <f>'[2]Calcul sous cat &gt;20'!N39/100</f>
        <v>1.680554806260056E-2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'[2]F 4 TRI _ Granulo'!K18</f>
        <v>0.42547528517110311</v>
      </c>
      <c r="D31" s="20">
        <f>'[2]F 4 TRI _ Granulo'!H18</f>
        <v>0.29000000000000004</v>
      </c>
      <c r="E31" s="20">
        <f>'[2]F 4 TRI _ Granulo'!E18</f>
        <v>0</v>
      </c>
      <c r="F31" s="20">
        <f t="shared" si="1"/>
        <v>0.71547528517110315</v>
      </c>
      <c r="G31" s="21">
        <f t="shared" si="0"/>
        <v>9.0744635519737181E-3</v>
      </c>
      <c r="H31" s="175">
        <f>G31*J31/I31</f>
        <v>1.0365726798175672E-2</v>
      </c>
      <c r="I31" s="503">
        <f>G31+G32+G33+G34</f>
        <v>2.1326942452170157E-2</v>
      </c>
      <c r="J31" s="503">
        <f>'[2]Calcul sous cat &gt;20'!N11/100</f>
        <v>2.4361689000505983E-2</v>
      </c>
    </row>
    <row r="32" spans="1:10" s="1" customFormat="1" ht="15" customHeight="1" x14ac:dyDescent="0.2">
      <c r="A32" s="501"/>
      <c r="B32" s="18" t="s">
        <v>43</v>
      </c>
      <c r="C32" s="19">
        <f>'[2]F 4 TRI _ Granulo'!K19</f>
        <v>0.93604562737642683</v>
      </c>
      <c r="D32" s="20">
        <f>'[2]F 4 TRI _ Granulo'!H19</f>
        <v>3.0000000000000027E-2</v>
      </c>
      <c r="E32" s="20">
        <f>'[2]F 4 TRI _ Granulo'!E19</f>
        <v>0</v>
      </c>
      <c r="F32" s="20">
        <f t="shared" si="1"/>
        <v>0.96604562737642685</v>
      </c>
      <c r="G32" s="21">
        <f t="shared" si="0"/>
        <v>1.2252478900196437E-2</v>
      </c>
      <c r="H32" s="175">
        <f>G32*J31/I31</f>
        <v>1.3995962202330309E-2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'[2]F 4 TRI _ Granulo'!K20</f>
        <v>0</v>
      </c>
      <c r="D33" s="20">
        <f>'[2]F 4 TRI _ Granulo'!H20</f>
        <v>0</v>
      </c>
      <c r="E33" s="20">
        <f>'[2]F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'[2]F 4 TRI _ Granulo'!K21</f>
        <v>0</v>
      </c>
      <c r="D34" s="20">
        <f>'[2]F 4 TRI _ Granulo'!H21</f>
        <v>0</v>
      </c>
      <c r="E34" s="20">
        <f>'[2]F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'[2]F 4 TRI _ Granulo'!K22</f>
        <v>0.25528517110266186</v>
      </c>
      <c r="D35" s="20">
        <f>'[2]F 4 TRI _ Granulo'!H22</f>
        <v>0.91000000000000014</v>
      </c>
      <c r="E35" s="20">
        <f>'[2]F 4 TRI _ Granulo'!E22</f>
        <v>0</v>
      </c>
      <c r="F35" s="20">
        <f t="shared" si="1"/>
        <v>1.1652851711026619</v>
      </c>
      <c r="G35" s="21">
        <f t="shared" si="0"/>
        <v>1.4779459237781711E-2</v>
      </c>
      <c r="H35" s="21">
        <f>'[2]Calcul sous cat &gt;20'!N43/100</f>
        <v>1.3401604400057292E-2</v>
      </c>
      <c r="I35" s="238">
        <f>G35</f>
        <v>1.4779459237781711E-2</v>
      </c>
      <c r="J35" s="238">
        <f>'[2]Calcul sous cat &gt;20'!N12/100</f>
        <v>1.3401604400057292E-2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'[2]F 4 TRI _ Granulo'!K23</f>
        <v>3.6590874524714851</v>
      </c>
      <c r="D36" s="20">
        <f>'[2]F 4 TRI _ Granulo'!H23</f>
        <v>1.0000000000000009E-2</v>
      </c>
      <c r="E36" s="20">
        <f>'[2]F 4 TRI _ Granulo'!E23</f>
        <v>0</v>
      </c>
      <c r="F36" s="20">
        <f t="shared" si="1"/>
        <v>3.6690874524714854</v>
      </c>
      <c r="G36" s="21">
        <f t="shared" si="0"/>
        <v>4.6535500312207469E-2</v>
      </c>
      <c r="H36" s="21">
        <f>'[2]Calcul sous cat &gt;20'!N44/100</f>
        <v>4.3779911285392589E-2</v>
      </c>
      <c r="I36" s="496">
        <f>G36+G37</f>
        <v>0.12214670644763853</v>
      </c>
      <c r="J36" s="496">
        <f>'[2]Calcul sous cat &gt;20'!N13/100</f>
        <v>0.11393875242807829</v>
      </c>
    </row>
    <row r="37" spans="1:10" s="1" customFormat="1" ht="15" customHeight="1" x14ac:dyDescent="0.2">
      <c r="A37" s="495"/>
      <c r="B37" s="18" t="s">
        <v>49</v>
      </c>
      <c r="C37" s="19">
        <f>'[2]F 4 TRI _ Granulo'!K24</f>
        <v>5.8715589353612172</v>
      </c>
      <c r="D37" s="20">
        <f>'[2]F 4 TRI _ Granulo'!H24</f>
        <v>9.000000000000008E-2</v>
      </c>
      <c r="E37" s="20">
        <f>'[2]F 4 TRI _ Granulo'!E24</f>
        <v>0</v>
      </c>
      <c r="F37" s="20">
        <f t="shared" si="1"/>
        <v>5.9615589353612171</v>
      </c>
      <c r="G37" s="21">
        <f t="shared" si="0"/>
        <v>7.5611206135431069E-2</v>
      </c>
      <c r="H37" s="21">
        <f>'[2]Calcul sous cat &gt;20'!N45/100</f>
        <v>7.0158841142685682E-2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'[2]F 4 TRI _ Granulo'!K25</f>
        <v>1.2764258555133092</v>
      </c>
      <c r="D38" s="20">
        <f>'[2]F 4 TRI _ Granulo'!H25</f>
        <v>4.3699999999999992</v>
      </c>
      <c r="E38" s="20">
        <f>'[2]F 4 TRI _ Granulo'!E25</f>
        <v>0</v>
      </c>
      <c r="F38" s="20">
        <f t="shared" si="1"/>
        <v>5.6464258555133089</v>
      </c>
      <c r="G38" s="21">
        <f t="shared" si="0"/>
        <v>7.1614333418273293E-2</v>
      </c>
      <c r="H38" s="21">
        <f>'[2]Calcul sous cat &gt;20'!N46/100</f>
        <v>7.4831418940348837E-2</v>
      </c>
      <c r="I38" s="496">
        <f>G38+G39+G40+G41+G42</f>
        <v>0.17380271768054839</v>
      </c>
      <c r="J38" s="496">
        <f>'[2]Calcul sous cat &gt;20'!N14/100</f>
        <v>0.17781286322271478</v>
      </c>
    </row>
    <row r="39" spans="1:10" s="1" customFormat="1" ht="15" customHeight="1" x14ac:dyDescent="0.2">
      <c r="A39" s="494"/>
      <c r="B39" s="18" t="s">
        <v>52</v>
      </c>
      <c r="C39" s="19">
        <f>'[2]F 4 TRI _ Granulo'!K26</f>
        <v>1.106235741444868</v>
      </c>
      <c r="D39" s="20">
        <f>'[2]F 4 TRI _ Granulo'!H26</f>
        <v>0.71</v>
      </c>
      <c r="E39" s="20">
        <f>'[2]F 4 TRI _ Granulo'!E26</f>
        <v>0</v>
      </c>
      <c r="F39" s="20">
        <f t="shared" si="1"/>
        <v>1.816235741444868</v>
      </c>
      <c r="G39" s="21">
        <f t="shared" si="0"/>
        <v>2.3035547668976381E-2</v>
      </c>
      <c r="H39" s="21">
        <f>'[2]Calcul sous cat &gt;20'!N47/100</f>
        <v>2.1513919122054838E-2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'[2]F 4 TRI _ Granulo'!K27</f>
        <v>0.76585551330798562</v>
      </c>
      <c r="D40" s="20">
        <f>'[2]F 4 TRI _ Granulo'!H27</f>
        <v>9.000000000000008E-2</v>
      </c>
      <c r="E40" s="20">
        <f>'[2]F 4 TRI _ Granulo'!E27</f>
        <v>0</v>
      </c>
      <c r="F40" s="20">
        <f t="shared" si="1"/>
        <v>0.8558555133079857</v>
      </c>
      <c r="G40" s="21">
        <f t="shared" si="0"/>
        <v>1.0854923744028086E-2</v>
      </c>
      <c r="H40" s="21">
        <f>'[2]Calcul sous cat &gt;20'!N48/100</f>
        <v>1.0136190590765412E-2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'[2]F 4 TRI _ Granulo'!K28</f>
        <v>2.2975665399239551</v>
      </c>
      <c r="D41" s="20">
        <f>'[2]F 4 TRI _ Granulo'!H28</f>
        <v>0.81</v>
      </c>
      <c r="E41" s="20">
        <f>'[2]F 4 TRI _ Granulo'!E28</f>
        <v>0</v>
      </c>
      <c r="F41" s="20">
        <f t="shared" si="1"/>
        <v>3.1075665399239552</v>
      </c>
      <c r="G41" s="21">
        <f t="shared" si="0"/>
        <v>3.9413659543989996E-2</v>
      </c>
      <c r="H41" s="21">
        <f>'[2]Calcul sous cat &gt;20'!N49/100</f>
        <v>4.1162319235865608E-2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'[2]F 4 TRI _ Granulo'!K29</f>
        <v>2.1273764258555135</v>
      </c>
      <c r="D42" s="20">
        <f>'[2]F 4 TRI _ Granulo'!H29</f>
        <v>0.15000000000000013</v>
      </c>
      <c r="E42" s="20">
        <f>'[2]F 4 TRI _ Granulo'!E29</f>
        <v>0</v>
      </c>
      <c r="F42" s="20">
        <f t="shared" si="1"/>
        <v>2.2773764258555138</v>
      </c>
      <c r="G42" s="21">
        <f t="shared" si="0"/>
        <v>2.8884253305280629E-2</v>
      </c>
      <c r="H42" s="21">
        <f>'[2]Calcul sous cat &gt;20'!N50/100</f>
        <v>3.0169015333680063E-2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'[2]F 4 TRI _ Granulo'!K30</f>
        <v>0.59566539923954431</v>
      </c>
      <c r="D43" s="20">
        <f>'[2]F 4 TRI _ Granulo'!H30</f>
        <v>0.95000000000000018</v>
      </c>
      <c r="E43" s="20">
        <f>'[2]F 4 TRI _ Granulo'!E30</f>
        <v>0</v>
      </c>
      <c r="F43" s="20">
        <f t="shared" si="1"/>
        <v>1.5456653992395446</v>
      </c>
      <c r="G43" s="21">
        <f t="shared" si="0"/>
        <v>1.9603869790683084E-2</v>
      </c>
      <c r="H43" s="21">
        <f>J43</f>
        <v>1.8153479123607305E-2</v>
      </c>
      <c r="I43" s="238">
        <f>G43</f>
        <v>1.9603869790683084E-2</v>
      </c>
      <c r="J43" s="238">
        <f>'[2]Calcul sous cat &gt;20'!N15/100</f>
        <v>1.8153479123607305E-2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'[2]F 4 TRI _ Granulo'!K31</f>
        <v>5.0206083650190152</v>
      </c>
      <c r="D44" s="20">
        <f>'[2]F 4 TRI _ Granulo'!H31</f>
        <v>3.53</v>
      </c>
      <c r="E44" s="20">
        <f>'[2]F 4 TRI _ Granulo'!E31</f>
        <v>0</v>
      </c>
      <c r="F44" s="20">
        <f t="shared" si="1"/>
        <v>8.5506083650190146</v>
      </c>
      <c r="G44" s="21">
        <f t="shared" si="0"/>
        <v>0.108448447575671</v>
      </c>
      <c r="H44" s="21">
        <f>G44*J44/I44</f>
        <v>9.8218586474996136E-2</v>
      </c>
      <c r="I44" s="496">
        <f>G44+G45</f>
        <v>0.13974731739818247</v>
      </c>
      <c r="J44" s="496">
        <f>'[2]Calcul sous cat &gt;20'!N16/100</f>
        <v>0.12656505727244102</v>
      </c>
    </row>
    <row r="45" spans="1:10" s="1" customFormat="1" ht="15" customHeight="1" x14ac:dyDescent="0.2">
      <c r="A45" s="495"/>
      <c r="B45" s="18" t="s">
        <v>59</v>
      </c>
      <c r="C45" s="19">
        <f>'[2]F 4 TRI _ Granulo'!K32</f>
        <v>2.4677566539923963</v>
      </c>
      <c r="D45" s="20">
        <f>'[2]F 4 TRI _ Granulo'!H32</f>
        <v>0</v>
      </c>
      <c r="E45" s="20">
        <f>'[2]F 4 TRI _ Granulo'!E32</f>
        <v>0</v>
      </c>
      <c r="F45" s="20">
        <f t="shared" si="1"/>
        <v>2.4677566539923963</v>
      </c>
      <c r="G45" s="21">
        <f t="shared" si="0"/>
        <v>3.1298869822511455E-2</v>
      </c>
      <c r="H45" s="21">
        <f>G45*J44/I44</f>
        <v>2.8346470797444866E-2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'[2]F 4 TRI _ Granulo'!K33</f>
        <v>0.93604562737642683</v>
      </c>
      <c r="D46" s="20">
        <f>'[2]F 4 TRI _ Granulo'!H33</f>
        <v>0.15000000000000013</v>
      </c>
      <c r="E46" s="20">
        <f>'[2]F 4 TRI _ Granulo'!E33</f>
        <v>0</v>
      </c>
      <c r="F46" s="20">
        <f t="shared" si="1"/>
        <v>1.086045627376427</v>
      </c>
      <c r="G46" s="21">
        <f t="shared" si="0"/>
        <v>1.377445408061994E-2</v>
      </c>
      <c r="H46" s="21">
        <f t="shared" ref="H46:H51" si="2">G46*$J$46/$I$46</f>
        <v>1.2881459785656168E-2</v>
      </c>
      <c r="I46" s="496">
        <f>G46+G47+G50+G51+G48+G49</f>
        <v>2.4896446853456176E-2</v>
      </c>
      <c r="J46" s="496">
        <f>'[2]Calcul sous cat &gt;20'!N17/100</f>
        <v>2.3282416643991461E-2</v>
      </c>
    </row>
    <row r="47" spans="1:10" s="1" customFormat="1" ht="15" customHeight="1" x14ac:dyDescent="0.2">
      <c r="A47" s="494"/>
      <c r="B47" s="18" t="s">
        <v>62</v>
      </c>
      <c r="C47" s="19">
        <f>'[2]F 4 TRI _ Granulo'!K34</f>
        <v>0.42547528517110311</v>
      </c>
      <c r="D47" s="20">
        <f>'[2]F 4 TRI _ Granulo'!H34</f>
        <v>5.0000000000000044E-2</v>
      </c>
      <c r="E47" s="20">
        <f>'[2]F 4 TRI _ Granulo'!E34</f>
        <v>0</v>
      </c>
      <c r="F47" s="20">
        <f t="shared" si="1"/>
        <v>0.47547528517110316</v>
      </c>
      <c r="G47" s="21">
        <f t="shared" si="0"/>
        <v>6.0305131911267146E-3</v>
      </c>
      <c r="H47" s="21">
        <f t="shared" si="2"/>
        <v>5.639556580878423E-3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'[2]F 4 TRI _ Granulo'!K35</f>
        <v>0</v>
      </c>
      <c r="D48" s="20">
        <f>'[2]F 4 TRI _ Granulo'!H35</f>
        <v>0</v>
      </c>
      <c r="E48" s="20">
        <f>'[2]F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'[2]F 4 TRI _ Granulo'!K36</f>
        <v>0</v>
      </c>
      <c r="D49" s="20">
        <f>'[2]F 4 TRI _ Granulo'!H36</f>
        <v>0</v>
      </c>
      <c r="E49" s="20">
        <f>'[2]F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'[2]F 4 TRI _ Granulo'!K37</f>
        <v>0.13615209125475289</v>
      </c>
      <c r="D50" s="20">
        <f>'[2]F 4 TRI _ Granulo'!H37</f>
        <v>1.0000000000000009E-2</v>
      </c>
      <c r="E50" s="20">
        <f>'[2]F 4 TRI _ Granulo'!E37</f>
        <v>0</v>
      </c>
      <c r="F50" s="20">
        <f t="shared" si="1"/>
        <v>0.1461520912547529</v>
      </c>
      <c r="G50" s="21">
        <f t="shared" si="0"/>
        <v>1.8536654621393721E-3</v>
      </c>
      <c r="H50" s="21">
        <f t="shared" si="2"/>
        <v>1.7334928097225482E-3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'[2]F 4 TRI _ Granulo'!K38</f>
        <v>0.25528517110266186</v>
      </c>
      <c r="D51" s="20">
        <f>'[2]F 4 TRI _ Granulo'!H38</f>
        <v>0</v>
      </c>
      <c r="E51" s="20">
        <f>'[2]F 4 TRI _ Granulo'!E38</f>
        <v>0</v>
      </c>
      <c r="F51" s="20">
        <f t="shared" si="1"/>
        <v>0.25528517110266186</v>
      </c>
      <c r="G51" s="21">
        <f t="shared" si="0"/>
        <v>3.2378141195701527E-3</v>
      </c>
      <c r="H51" s="21">
        <f t="shared" si="2"/>
        <v>3.0279074677343246E-3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'[2]F 4 TRI _ Granulo'!K39</f>
        <v>2.4677566539923963</v>
      </c>
      <c r="D52" s="20">
        <f>'[2]F 4 TRI _ Granulo'!H39</f>
        <v>0.22999999999999998</v>
      </c>
      <c r="E52" s="20">
        <f>'[2]F 4 TRI _ Granulo'!E39</f>
        <v>0</v>
      </c>
      <c r="F52" s="20">
        <f t="shared" si="1"/>
        <v>2.6977566539923963</v>
      </c>
      <c r="G52" s="21">
        <f t="shared" si="0"/>
        <v>3.421598891832317E-2</v>
      </c>
      <c r="H52" s="21">
        <f>J52</f>
        <v>3.538441267751026E-2</v>
      </c>
      <c r="I52" s="241">
        <f>G52</f>
        <v>3.421598891832317E-2</v>
      </c>
      <c r="J52" s="241">
        <f>'[2]Calcul sous cat &gt;20'!N18/100</f>
        <v>3.538441267751026E-2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'[2]F 4 TRI _ Granulo'!K40</f>
        <v>0</v>
      </c>
      <c r="D53" s="20">
        <f>'[2]F 4 TRI _ Granulo'!H40</f>
        <v>7.8E-2</v>
      </c>
      <c r="E53" s="20">
        <f>'[2]F 4 TRI _ Granulo'!E40</f>
        <v>0</v>
      </c>
      <c r="F53" s="20">
        <f t="shared" si="1"/>
        <v>7.8E-2</v>
      </c>
      <c r="G53" s="21">
        <f t="shared" si="0"/>
        <v>9.8928386727527621E-4</v>
      </c>
      <c r="H53" s="175">
        <f>G53*J53/I53</f>
        <v>9.148711658997354E-4</v>
      </c>
      <c r="I53" s="496">
        <f>SUM(G53:G62)</f>
        <v>9.8928386727527621E-4</v>
      </c>
      <c r="J53" s="496">
        <f>'[2]Calcul sous cat &gt;20'!N19/100</f>
        <v>9.148711658997354E-4</v>
      </c>
    </row>
    <row r="54" spans="1:10" s="1" customFormat="1" ht="15" customHeight="1" x14ac:dyDescent="0.2">
      <c r="A54" s="494"/>
      <c r="B54" s="18" t="s">
        <v>70</v>
      </c>
      <c r="C54" s="19">
        <f>'[2]F 4 TRI _ Granulo'!K41</f>
        <v>0</v>
      </c>
      <c r="D54" s="20">
        <f>'[2]F 4 TRI _ Granulo'!H41</f>
        <v>0</v>
      </c>
      <c r="E54" s="20">
        <f>'[2]F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'[2]F 4 TRI _ Granulo'!K42</f>
        <v>0</v>
      </c>
      <c r="D55" s="20">
        <f>'[2]F 4 TRI _ Granulo'!H42</f>
        <v>0</v>
      </c>
      <c r="E55" s="20">
        <f>'[2]F 4 TRI _ Granulo'!E42</f>
        <v>0</v>
      </c>
      <c r="F55" s="20">
        <f>SUM(C55:E55)</f>
        <v>0</v>
      </c>
      <c r="G55" s="21">
        <f t="shared" si="0"/>
        <v>0</v>
      </c>
      <c r="H55" s="175">
        <f>G55*J53/I53</f>
        <v>0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'[2]F 4 TRI _ Granulo'!K43</f>
        <v>0</v>
      </c>
      <c r="D56" s="20">
        <f>'[2]F 4 TRI _ Granulo'!H43</f>
        <v>0</v>
      </c>
      <c r="E56" s="20">
        <f>'[2]F 4 TRI _ Granulo'!E43</f>
        <v>0</v>
      </c>
      <c r="F56" s="20">
        <f t="shared" si="1"/>
        <v>0</v>
      </c>
      <c r="G56" s="21">
        <f>F56/$F$64</f>
        <v>0</v>
      </c>
      <c r="H56" s="246">
        <f>G56*J53/I53</f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'[2]F 4 TRI _ Granulo'!K44</f>
        <v>0</v>
      </c>
      <c r="D57" s="20">
        <f>'[2]F 4 TRI _ Granulo'!H44</f>
        <v>0</v>
      </c>
      <c r="E57" s="20">
        <f>'[2]F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'[2]F 4 TRI _ Granulo'!K45</f>
        <v>0</v>
      </c>
      <c r="D58" s="20">
        <f>'[2]F 4 TRI _ Granulo'!H45</f>
        <v>0</v>
      </c>
      <c r="E58" s="20">
        <f>'[2]F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'[2]F 4 TRI _ Granulo'!K46</f>
        <v>0</v>
      </c>
      <c r="D59" s="20">
        <f>'[2]F 4 TRI _ Granulo'!H46</f>
        <v>0</v>
      </c>
      <c r="E59" s="20">
        <f>'[2]F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96"/>
      <c r="J59" s="496"/>
    </row>
    <row r="60" spans="1:10" x14ac:dyDescent="0.25">
      <c r="A60" s="494"/>
      <c r="B60" s="18" t="s">
        <v>125</v>
      </c>
      <c r="C60" s="19">
        <f>'[2]F 4 TRI _ Granulo'!K47</f>
        <v>0</v>
      </c>
      <c r="D60" s="20">
        <f>'[2]F 4 TRI _ Granulo'!H47</f>
        <v>0</v>
      </c>
      <c r="E60" s="20">
        <f>'[2]F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96"/>
      <c r="J60" s="496"/>
    </row>
    <row r="61" spans="1:10" x14ac:dyDescent="0.25">
      <c r="A61" s="494"/>
      <c r="B61" s="18" t="s">
        <v>126</v>
      </c>
      <c r="C61" s="19">
        <f>'[2]F 4 TRI _ Granulo'!K48</f>
        <v>0</v>
      </c>
      <c r="D61" s="20">
        <f>'[2]F 4 TRI _ Granulo'!H48</f>
        <v>0</v>
      </c>
      <c r="E61" s="20">
        <f>'[2]F 4 TRI _ Granulo'!E48</f>
        <v>0</v>
      </c>
      <c r="F61" s="20">
        <f t="shared" si="1"/>
        <v>0</v>
      </c>
      <c r="G61" s="21">
        <f t="shared" si="3"/>
        <v>0</v>
      </c>
      <c r="H61" s="175">
        <f>G61*J53/I53</f>
        <v>0</v>
      </c>
      <c r="I61" s="496"/>
      <c r="J61" s="496"/>
    </row>
    <row r="62" spans="1:10" x14ac:dyDescent="0.25">
      <c r="A62" s="506"/>
      <c r="B62" s="18" t="s">
        <v>73</v>
      </c>
      <c r="C62" s="19">
        <f>'[2]F 4 TRI _ Granulo'!K49</f>
        <v>0</v>
      </c>
      <c r="D62" s="20">
        <f>'[2]F 4 TRI _ Granulo'!H49</f>
        <v>0</v>
      </c>
      <c r="E62" s="20">
        <f>'[2]F 4 TRI _ Granulo'!E49</f>
        <v>0</v>
      </c>
      <c r="F62" s="20">
        <f t="shared" si="1"/>
        <v>0</v>
      </c>
      <c r="G62" s="21">
        <f t="shared" si="3"/>
        <v>0</v>
      </c>
      <c r="H62" s="246">
        <f>G62*J53/I53</f>
        <v>0</v>
      </c>
      <c r="I62" s="496"/>
      <c r="J62" s="496"/>
    </row>
    <row r="63" spans="1:10" x14ac:dyDescent="0.25">
      <c r="A63" s="22" t="s">
        <v>74</v>
      </c>
      <c r="B63" s="23">
        <f>'[2]F 3 _ Criblage et Tri'!C27+'[2]F 3 _ Criblage et Tri'!D27</f>
        <v>7.1400000000000006</v>
      </c>
      <c r="C63" s="19">
        <f>'[2]F 4 TRI _ Granulo'!K50</f>
        <v>1.5317110266159712</v>
      </c>
      <c r="D63" s="20">
        <f>'[2]F 4 TRI _ Granulo'!H50</f>
        <v>0.18000000000000016</v>
      </c>
      <c r="E63" s="20">
        <f>'[2]F 4 TRI _ Granulo'!E50</f>
        <v>0</v>
      </c>
      <c r="F63" s="19">
        <f>SUM(B63:E63)</f>
        <v>8.8517110266159715</v>
      </c>
      <c r="G63" s="21">
        <f t="shared" si="0"/>
        <v>0.11226737072325454</v>
      </c>
      <c r="H63" s="21">
        <f>J63</f>
        <v>5.5076977076071766E-2</v>
      </c>
      <c r="I63" s="24">
        <f>G63</f>
        <v>0.11226737072325454</v>
      </c>
      <c r="J63" s="24">
        <f>'[2]Calcul sous cat &gt;20'!N20/100</f>
        <v>5.5076977076071766E-2</v>
      </c>
    </row>
    <row r="64" spans="1:10" x14ac:dyDescent="0.25">
      <c r="A64" s="25" t="s">
        <v>25</v>
      </c>
      <c r="B64" s="90">
        <f>B63</f>
        <v>7.1400000000000006</v>
      </c>
      <c r="C64" s="19">
        <f>SUM(C18:C63)</f>
        <v>45.576912547528543</v>
      </c>
      <c r="D64" s="19">
        <f>SUM(D18:D63)</f>
        <v>25.068000000000001</v>
      </c>
      <c r="E64" s="19">
        <f>SUM(E18:E63)</f>
        <v>1.06</v>
      </c>
      <c r="F64" s="19">
        <f>SUM(B64:E64)</f>
        <v>78.844912547528551</v>
      </c>
      <c r="G64" s="21">
        <f t="shared" si="0"/>
        <v>1</v>
      </c>
      <c r="H64" s="21">
        <f>SUM(H18:H63)</f>
        <v>0.99999999999999956</v>
      </c>
      <c r="I64" s="24">
        <f>SUM(I18:I63)</f>
        <v>0.99999999999999978</v>
      </c>
      <c r="J64" s="24">
        <f>SUM(J18:J63)</f>
        <v>0.99999999999999989</v>
      </c>
    </row>
    <row r="65" spans="1:10" ht="51.75" x14ac:dyDescent="0.25">
      <c r="A65" s="26" t="s">
        <v>75</v>
      </c>
      <c r="B65" s="244">
        <f>B64/$F$64</f>
        <v>9.0557523235198376E-2</v>
      </c>
      <c r="C65" s="244">
        <f>C64/$F$64</f>
        <v>0.57805774748059102</v>
      </c>
      <c r="D65" s="244">
        <f>D64/$F$64</f>
        <v>0.31794061519046957</v>
      </c>
      <c r="E65" s="244">
        <f>E64/$F$64</f>
        <v>1.3444114093740935E-2</v>
      </c>
      <c r="F65" s="244">
        <f>F64/$F$64</f>
        <v>1</v>
      </c>
      <c r="G65" s="1"/>
      <c r="H65" s="1"/>
      <c r="I65" s="1"/>
      <c r="J65" s="1"/>
    </row>
  </sheetData>
  <mergeCells count="39"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A44:A45"/>
    <mergeCell ref="I44:I45"/>
    <mergeCell ref="J44:J45"/>
    <mergeCell ref="A46:A51"/>
    <mergeCell ref="I46:I51"/>
    <mergeCell ref="J46:J51"/>
    <mergeCell ref="A53:A62"/>
    <mergeCell ref="I53:I62"/>
    <mergeCell ref="J53:J62"/>
    <mergeCell ref="A28:A30"/>
    <mergeCell ref="I28:I30"/>
    <mergeCell ref="J28:J30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37"/>
  <sheetViews>
    <sheetView zoomScale="60" zoomScaleNormal="60" workbookViewId="0">
      <pane xSplit="3" ySplit="4" topLeftCell="D19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2.75" x14ac:dyDescent="0.2"/>
  <cols>
    <col min="1" max="1" width="23" style="295" bestFit="1" customWidth="1"/>
    <col min="2" max="2" width="12.5703125" style="295" hidden="1" customWidth="1"/>
    <col min="3" max="3" width="12.5703125" style="295" customWidth="1"/>
    <col min="4" max="10" width="15.140625" style="295" customWidth="1"/>
    <col min="11" max="11" width="15.140625" style="327" customWidth="1"/>
    <col min="12" max="18" width="11.42578125" style="296"/>
    <col min="19" max="19" width="4.5703125" style="297" customWidth="1"/>
    <col min="20" max="20" width="11.42578125" style="298"/>
    <col min="21" max="21" width="11.42578125" style="297"/>
    <col min="22" max="16384" width="11.42578125" style="321"/>
  </cols>
  <sheetData>
    <row r="1" spans="1:20" ht="31.5" customHeight="1" x14ac:dyDescent="0.2">
      <c r="D1" s="587" t="s">
        <v>199</v>
      </c>
      <c r="E1" s="587"/>
      <c r="F1" s="587"/>
      <c r="G1" s="587"/>
      <c r="H1" s="587" t="s">
        <v>199</v>
      </c>
      <c r="I1" s="587"/>
      <c r="J1" s="587"/>
      <c r="K1" s="587"/>
    </row>
    <row r="2" spans="1:20" ht="20.25" customHeight="1" x14ac:dyDescent="0.2">
      <c r="D2" s="588" t="str">
        <f>' SYCTOM Catégories'!D2:G2</f>
        <v>Campagne : Hiver 2015</v>
      </c>
      <c r="E2" s="588"/>
      <c r="F2" s="588"/>
      <c r="G2" s="588"/>
      <c r="H2" s="588" t="str">
        <f>D2</f>
        <v>Campagne : Hiver 2015</v>
      </c>
      <c r="I2" s="588"/>
      <c r="J2" s="588"/>
      <c r="K2" s="588"/>
    </row>
    <row r="3" spans="1:20" ht="20.25" customHeight="1" x14ac:dyDescent="0.2">
      <c r="A3" s="299"/>
      <c r="B3" s="300"/>
      <c r="C3" s="300"/>
      <c r="D3" s="589" t="s">
        <v>139</v>
      </c>
      <c r="E3" s="589"/>
      <c r="F3" s="589"/>
      <c r="G3" s="589"/>
      <c r="H3" s="589" t="s">
        <v>139</v>
      </c>
      <c r="I3" s="589"/>
      <c r="J3" s="589"/>
      <c r="K3" s="589"/>
    </row>
    <row r="4" spans="1:20" ht="24.95" customHeight="1" x14ac:dyDescent="0.2">
      <c r="A4" s="301" t="s">
        <v>140</v>
      </c>
      <c r="B4" s="302" t="s">
        <v>141</v>
      </c>
      <c r="C4" s="303" t="s">
        <v>142</v>
      </c>
      <c r="D4" s="304" t="s">
        <v>143</v>
      </c>
      <c r="E4" s="304" t="s">
        <v>200</v>
      </c>
      <c r="F4" s="304" t="s">
        <v>145</v>
      </c>
      <c r="G4" s="304" t="s">
        <v>146</v>
      </c>
      <c r="H4" s="304" t="s">
        <v>201</v>
      </c>
      <c r="I4" s="304" t="s">
        <v>202</v>
      </c>
      <c r="J4" s="304" t="s">
        <v>149</v>
      </c>
      <c r="K4" s="304" t="s">
        <v>150</v>
      </c>
      <c r="L4" s="305" t="s">
        <v>151</v>
      </c>
      <c r="M4" s="305" t="s">
        <v>152</v>
      </c>
      <c r="N4" s="305" t="s">
        <v>153</v>
      </c>
      <c r="O4" s="305" t="s">
        <v>154</v>
      </c>
      <c r="P4" s="305" t="s">
        <v>203</v>
      </c>
      <c r="Q4" s="305" t="s">
        <v>155</v>
      </c>
      <c r="R4" s="305" t="s">
        <v>156</v>
      </c>
    </row>
    <row r="5" spans="1:20" ht="24.95" customHeight="1" x14ac:dyDescent="0.2">
      <c r="A5" s="306" t="s">
        <v>160</v>
      </c>
      <c r="B5" s="307" t="s">
        <v>161</v>
      </c>
      <c r="C5" s="308" t="s">
        <v>162</v>
      </c>
      <c r="D5" s="309">
        <v>82.9</v>
      </c>
      <c r="E5" s="309">
        <v>82.4</v>
      </c>
      <c r="F5" s="310">
        <v>78.3</v>
      </c>
      <c r="G5" s="309">
        <v>77.3</v>
      </c>
      <c r="H5" s="309">
        <v>80</v>
      </c>
      <c r="I5" s="309">
        <v>83.6</v>
      </c>
      <c r="J5" s="310">
        <v>81.3</v>
      </c>
      <c r="K5" s="309">
        <v>79.099999999999994</v>
      </c>
      <c r="L5" s="311">
        <v>82.65</v>
      </c>
      <c r="M5" s="311">
        <v>77.8</v>
      </c>
      <c r="N5" s="311">
        <v>81.8</v>
      </c>
      <c r="O5" s="311">
        <v>80.199999999999989</v>
      </c>
      <c r="P5" s="311">
        <v>80.612499999999997</v>
      </c>
      <c r="Q5" s="311">
        <v>80.625</v>
      </c>
      <c r="R5" s="311">
        <v>80.599999999999994</v>
      </c>
    </row>
    <row r="6" spans="1:20" ht="24.95" customHeight="1" x14ac:dyDescent="0.2">
      <c r="A6" s="306" t="s">
        <v>163</v>
      </c>
      <c r="B6" s="307" t="s">
        <v>164</v>
      </c>
      <c r="C6" s="308" t="s">
        <v>162</v>
      </c>
      <c r="D6" s="309">
        <v>0.85</v>
      </c>
      <c r="E6" s="309">
        <v>1.1000000000000001</v>
      </c>
      <c r="F6" s="309">
        <v>1.51</v>
      </c>
      <c r="G6" s="309">
        <v>1.0900000000000001</v>
      </c>
      <c r="H6" s="309">
        <v>1.44</v>
      </c>
      <c r="I6" s="309">
        <v>1.26</v>
      </c>
      <c r="J6" s="309">
        <v>1.1399999999999999</v>
      </c>
      <c r="K6" s="309">
        <v>1.34</v>
      </c>
      <c r="L6" s="312">
        <v>0.97500000000000009</v>
      </c>
      <c r="M6" s="312">
        <v>1.3</v>
      </c>
      <c r="N6" s="312">
        <v>1.35</v>
      </c>
      <c r="O6" s="312">
        <v>1.24</v>
      </c>
      <c r="P6" s="311">
        <v>1.2162500000000001</v>
      </c>
      <c r="Q6" s="312">
        <v>1.2349999999999999</v>
      </c>
      <c r="R6" s="312">
        <v>1.1975</v>
      </c>
    </row>
    <row r="7" spans="1:20" ht="24.95" customHeight="1" x14ac:dyDescent="0.2">
      <c r="A7" s="306" t="s">
        <v>165</v>
      </c>
      <c r="B7" s="307" t="s">
        <v>166</v>
      </c>
      <c r="C7" s="308" t="s">
        <v>167</v>
      </c>
      <c r="D7" s="313">
        <v>1986.8</v>
      </c>
      <c r="E7" s="313">
        <v>1592.4</v>
      </c>
      <c r="F7" s="313">
        <v>2399.8000000000002</v>
      </c>
      <c r="G7" s="313">
        <v>1802.7</v>
      </c>
      <c r="H7" s="313">
        <v>3134</v>
      </c>
      <c r="I7" s="313">
        <v>1898.2</v>
      </c>
      <c r="J7" s="313">
        <v>1207.9000000000001</v>
      </c>
      <c r="K7" s="313">
        <v>2580</v>
      </c>
      <c r="L7" s="314">
        <v>1789.6</v>
      </c>
      <c r="M7" s="314">
        <v>2101.25</v>
      </c>
      <c r="N7" s="314">
        <v>2516.1</v>
      </c>
      <c r="O7" s="314">
        <v>1893.95</v>
      </c>
      <c r="P7" s="314">
        <v>2075.2250000000004</v>
      </c>
      <c r="Q7" s="314">
        <v>2182.125</v>
      </c>
      <c r="R7" s="314">
        <v>1968.325</v>
      </c>
    </row>
    <row r="8" spans="1:20" ht="24.95" customHeight="1" x14ac:dyDescent="0.2">
      <c r="A8" s="306" t="s">
        <v>168</v>
      </c>
      <c r="B8" s="307" t="s">
        <v>166</v>
      </c>
      <c r="C8" s="308" t="s">
        <v>167</v>
      </c>
      <c r="D8" s="313">
        <v>3151.2</v>
      </c>
      <c r="E8" s="313">
        <v>3520</v>
      </c>
      <c r="F8" s="313">
        <v>5166.2</v>
      </c>
      <c r="G8" s="313">
        <v>3455</v>
      </c>
      <c r="H8" s="313">
        <v>4969.5</v>
      </c>
      <c r="I8" s="313">
        <v>4736.2</v>
      </c>
      <c r="J8" s="313">
        <v>4032.4</v>
      </c>
      <c r="K8" s="313">
        <v>4527.7</v>
      </c>
      <c r="L8" s="314">
        <v>3335.6</v>
      </c>
      <c r="M8" s="314">
        <v>4310.6000000000004</v>
      </c>
      <c r="N8" s="314">
        <v>4852.8500000000004</v>
      </c>
      <c r="O8" s="314">
        <v>4280.05</v>
      </c>
      <c r="P8" s="314">
        <v>4194.7750000000005</v>
      </c>
      <c r="Q8" s="314">
        <v>4329.8249999999998</v>
      </c>
      <c r="R8" s="314">
        <v>4059.7250000000004</v>
      </c>
    </row>
    <row r="9" spans="1:20" ht="24.95" customHeight="1" x14ac:dyDescent="0.2">
      <c r="A9" s="306" t="s">
        <v>169</v>
      </c>
      <c r="B9" s="307" t="s">
        <v>170</v>
      </c>
      <c r="C9" s="308" t="s">
        <v>162</v>
      </c>
      <c r="D9" s="309">
        <v>37.9</v>
      </c>
      <c r="E9" s="309">
        <v>40.4</v>
      </c>
      <c r="F9" s="309">
        <v>37.1</v>
      </c>
      <c r="G9" s="309">
        <v>36</v>
      </c>
      <c r="H9" s="309">
        <v>38.1</v>
      </c>
      <c r="I9" s="309">
        <v>41</v>
      </c>
      <c r="J9" s="309">
        <v>38.5</v>
      </c>
      <c r="K9" s="309">
        <v>38.299999999999997</v>
      </c>
      <c r="L9" s="311">
        <v>39.15</v>
      </c>
      <c r="M9" s="311">
        <v>36.549999999999997</v>
      </c>
      <c r="N9" s="311">
        <v>39.549999999999997</v>
      </c>
      <c r="O9" s="311">
        <v>38.4</v>
      </c>
      <c r="P9" s="311">
        <v>38.412500000000001</v>
      </c>
      <c r="Q9" s="311">
        <v>37.9</v>
      </c>
      <c r="R9" s="311">
        <v>38.924999999999997</v>
      </c>
    </row>
    <row r="10" spans="1:20" ht="24.95" hidden="1" customHeight="1" x14ac:dyDescent="0.2">
      <c r="A10" s="306" t="s">
        <v>204</v>
      </c>
      <c r="B10" s="583" t="s">
        <v>205</v>
      </c>
      <c r="C10" s="308" t="s">
        <v>162</v>
      </c>
      <c r="D10" s="315"/>
      <c r="E10" s="315"/>
      <c r="F10" s="315"/>
      <c r="G10" s="315"/>
      <c r="H10" s="315"/>
      <c r="I10" s="315"/>
      <c r="J10" s="315"/>
      <c r="K10" s="316"/>
      <c r="L10" s="311" t="e">
        <v>#DIV/0!</v>
      </c>
      <c r="M10" s="311" t="e">
        <v>#DIV/0!</v>
      </c>
      <c r="N10" s="311" t="e">
        <v>#DIV/0!</v>
      </c>
      <c r="O10" s="311" t="e">
        <v>#DIV/0!</v>
      </c>
      <c r="P10" s="311" t="e">
        <v>#DIV/0!</v>
      </c>
      <c r="Q10" s="311" t="e">
        <v>#DIV/0!</v>
      </c>
      <c r="R10" s="311" t="e">
        <v>#DIV/0!</v>
      </c>
    </row>
    <row r="11" spans="1:20" ht="24.95" hidden="1" customHeight="1" x14ac:dyDescent="0.2">
      <c r="A11" s="306" t="s">
        <v>206</v>
      </c>
      <c r="B11" s="583"/>
      <c r="C11" s="308" t="s">
        <v>162</v>
      </c>
      <c r="D11" s="315"/>
      <c r="E11" s="315"/>
      <c r="F11" s="315"/>
      <c r="G11" s="315"/>
      <c r="H11" s="315"/>
      <c r="I11" s="315"/>
      <c r="J11" s="315"/>
      <c r="K11" s="316"/>
      <c r="L11" s="311" t="e">
        <v>#DIV/0!</v>
      </c>
      <c r="M11" s="311" t="e">
        <v>#DIV/0!</v>
      </c>
      <c r="N11" s="311" t="e">
        <v>#DIV/0!</v>
      </c>
      <c r="O11" s="311" t="e">
        <v>#DIV/0!</v>
      </c>
      <c r="P11" s="311" t="e">
        <v>#DIV/0!</v>
      </c>
      <c r="Q11" s="311" t="e">
        <v>#DIV/0!</v>
      </c>
      <c r="R11" s="311" t="e">
        <v>#DIV/0!</v>
      </c>
    </row>
    <row r="12" spans="1:20" ht="24.95" hidden="1" customHeight="1" x14ac:dyDescent="0.2">
      <c r="A12" s="306" t="s">
        <v>207</v>
      </c>
      <c r="B12" s="583"/>
      <c r="C12" s="308" t="s">
        <v>162</v>
      </c>
      <c r="D12" s="315"/>
      <c r="E12" s="315"/>
      <c r="F12" s="315"/>
      <c r="G12" s="315"/>
      <c r="H12" s="315"/>
      <c r="I12" s="315"/>
      <c r="J12" s="315"/>
      <c r="K12" s="316"/>
      <c r="L12" s="311" t="e">
        <v>#DIV/0!</v>
      </c>
      <c r="M12" s="311" t="e">
        <v>#DIV/0!</v>
      </c>
      <c r="N12" s="311" t="e">
        <v>#DIV/0!</v>
      </c>
      <c r="O12" s="311" t="e">
        <v>#DIV/0!</v>
      </c>
      <c r="P12" s="311" t="e">
        <v>#DIV/0!</v>
      </c>
      <c r="Q12" s="311" t="e">
        <v>#DIV/0!</v>
      </c>
      <c r="R12" s="311" t="e">
        <v>#DIV/0!</v>
      </c>
    </row>
    <row r="13" spans="1:20" ht="24.95" customHeight="1" x14ac:dyDescent="0.2">
      <c r="A13" s="306" t="s">
        <v>171</v>
      </c>
      <c r="B13" s="583"/>
      <c r="C13" s="308" t="s">
        <v>162</v>
      </c>
      <c r="D13" s="310">
        <v>0.8</v>
      </c>
      <c r="E13" s="310">
        <v>1</v>
      </c>
      <c r="F13" s="310">
        <v>1.4</v>
      </c>
      <c r="G13" s="310">
        <v>0.1</v>
      </c>
      <c r="H13" s="310">
        <v>1.2</v>
      </c>
      <c r="I13" s="310">
        <v>1.1000000000000001</v>
      </c>
      <c r="J13" s="310">
        <v>1</v>
      </c>
      <c r="K13" s="310">
        <v>1.2</v>
      </c>
      <c r="L13" s="317">
        <v>0.9</v>
      </c>
      <c r="M13" s="317">
        <v>0.75</v>
      </c>
      <c r="N13" s="317">
        <v>1.1499999999999999</v>
      </c>
      <c r="O13" s="317">
        <v>1.1000000000000001</v>
      </c>
      <c r="P13" s="317">
        <v>0.97499999999999998</v>
      </c>
      <c r="Q13" s="317">
        <v>1.1000000000000001</v>
      </c>
      <c r="R13" s="317">
        <v>0.85000000000000009</v>
      </c>
    </row>
    <row r="14" spans="1:20" ht="24" customHeight="1" x14ac:dyDescent="0.2">
      <c r="A14" s="306" t="s">
        <v>173</v>
      </c>
      <c r="B14" s="307" t="s">
        <v>172</v>
      </c>
      <c r="C14" s="318" t="s">
        <v>174</v>
      </c>
      <c r="D14" s="319">
        <v>47.374999999999993</v>
      </c>
      <c r="E14" s="319">
        <v>40.4</v>
      </c>
      <c r="F14" s="319">
        <v>26.500000000000004</v>
      </c>
      <c r="G14" s="319">
        <v>360</v>
      </c>
      <c r="H14" s="319">
        <v>31.750000000000004</v>
      </c>
      <c r="I14" s="319">
        <v>37.272727272727266</v>
      </c>
      <c r="J14" s="319">
        <v>38.5</v>
      </c>
      <c r="K14" s="319">
        <v>31.916666666666664</v>
      </c>
      <c r="L14" s="311">
        <v>43.887499999999996</v>
      </c>
      <c r="M14" s="311">
        <v>193.25</v>
      </c>
      <c r="N14" s="311">
        <v>34.511363636363633</v>
      </c>
      <c r="O14" s="311">
        <v>35.208333333333329</v>
      </c>
      <c r="P14" s="311">
        <v>76.714299242424232</v>
      </c>
      <c r="Q14" s="311">
        <v>36.03125</v>
      </c>
      <c r="R14" s="311">
        <v>117.39734848484848</v>
      </c>
      <c r="T14" s="298">
        <v>8</v>
      </c>
    </row>
    <row r="15" spans="1:20" ht="24" customHeight="1" x14ac:dyDescent="0.2">
      <c r="A15" s="306" t="s">
        <v>208</v>
      </c>
      <c r="B15" s="320"/>
      <c r="C15" s="318"/>
      <c r="D15" s="319">
        <v>51.294117647058826</v>
      </c>
      <c r="E15" s="319">
        <v>40.454545454545453</v>
      </c>
      <c r="F15" s="319">
        <v>26.688741721854303</v>
      </c>
      <c r="G15" s="319">
        <v>37.155963302752291</v>
      </c>
      <c r="H15" s="319">
        <v>30.833333333333332</v>
      </c>
      <c r="I15" s="319">
        <v>34.841269841269842</v>
      </c>
      <c r="J15" s="319">
        <v>38.245614035087726</v>
      </c>
      <c r="K15" s="319">
        <v>31.268656716417908</v>
      </c>
      <c r="L15" s="311">
        <v>45.87433155080214</v>
      </c>
      <c r="M15" s="311">
        <v>31.922352512303299</v>
      </c>
      <c r="N15" s="311">
        <v>32.837301587301589</v>
      </c>
      <c r="O15" s="311">
        <v>34.757135375752817</v>
      </c>
      <c r="P15" s="311">
        <v>36.347780256539963</v>
      </c>
      <c r="Q15" s="311">
        <v>36.765451684333541</v>
      </c>
      <c r="R15" s="311">
        <v>35.93010882874637</v>
      </c>
    </row>
    <row r="16" spans="1:20" ht="24.95" customHeight="1" x14ac:dyDescent="0.2">
      <c r="A16" s="306" t="s">
        <v>175</v>
      </c>
      <c r="B16" s="584" t="s">
        <v>176</v>
      </c>
      <c r="C16" s="308" t="s">
        <v>167</v>
      </c>
      <c r="D16" s="313">
        <v>1341</v>
      </c>
      <c r="E16" s="313">
        <v>943</v>
      </c>
      <c r="F16" s="313">
        <v>1317</v>
      </c>
      <c r="G16" s="313">
        <v>9402</v>
      </c>
      <c r="H16" s="313">
        <v>1703</v>
      </c>
      <c r="I16" s="313">
        <v>1708</v>
      </c>
      <c r="J16" s="313">
        <v>952</v>
      </c>
      <c r="K16" s="313">
        <v>1674</v>
      </c>
      <c r="L16" s="314">
        <v>1142</v>
      </c>
      <c r="M16" s="314">
        <v>5359.5</v>
      </c>
      <c r="N16" s="314">
        <v>1705.5</v>
      </c>
      <c r="O16" s="314">
        <v>1313</v>
      </c>
      <c r="P16" s="314">
        <v>2380</v>
      </c>
      <c r="Q16" s="314">
        <v>1328.25</v>
      </c>
      <c r="R16" s="314">
        <v>3431.75</v>
      </c>
    </row>
    <row r="17" spans="1:21" ht="24.75" customHeight="1" x14ac:dyDescent="0.2">
      <c r="A17" s="306" t="s">
        <v>177</v>
      </c>
      <c r="B17" s="585"/>
      <c r="C17" s="308" t="s">
        <v>167</v>
      </c>
      <c r="D17" s="313">
        <v>3852</v>
      </c>
      <c r="E17" s="313">
        <v>8310</v>
      </c>
      <c r="F17" s="313">
        <v>5873</v>
      </c>
      <c r="G17" s="313">
        <v>2655</v>
      </c>
      <c r="H17" s="313">
        <v>6122</v>
      </c>
      <c r="I17" s="313">
        <v>5639</v>
      </c>
      <c r="J17" s="313">
        <v>3425</v>
      </c>
      <c r="K17" s="313">
        <v>4480</v>
      </c>
      <c r="L17" s="314">
        <v>6081</v>
      </c>
      <c r="M17" s="314">
        <v>4264</v>
      </c>
      <c r="N17" s="314">
        <v>5880.5</v>
      </c>
      <c r="O17" s="314">
        <v>3952.5</v>
      </c>
      <c r="P17" s="314">
        <v>5044.5</v>
      </c>
      <c r="Q17" s="314">
        <v>4818</v>
      </c>
      <c r="R17" s="314">
        <v>5271</v>
      </c>
    </row>
    <row r="18" spans="1:21" ht="24.75" customHeight="1" x14ac:dyDescent="0.2">
      <c r="A18" s="306" t="s">
        <v>178</v>
      </c>
      <c r="B18" s="586"/>
      <c r="C18" s="308" t="s">
        <v>167</v>
      </c>
      <c r="D18" s="309">
        <v>23</v>
      </c>
      <c r="E18" s="309">
        <v>50</v>
      </c>
      <c r="F18" s="309">
        <v>126</v>
      </c>
      <c r="G18" s="309">
        <v>26</v>
      </c>
      <c r="H18" s="309">
        <v>61</v>
      </c>
      <c r="I18" s="309">
        <v>62</v>
      </c>
      <c r="J18" s="309" t="s">
        <v>209</v>
      </c>
      <c r="K18" s="309">
        <v>76</v>
      </c>
      <c r="L18" s="311">
        <v>36.5</v>
      </c>
      <c r="M18" s="311">
        <v>76</v>
      </c>
      <c r="N18" s="311">
        <v>61.5</v>
      </c>
      <c r="O18" s="311">
        <v>76</v>
      </c>
      <c r="P18" s="311">
        <v>60.571428571428569</v>
      </c>
      <c r="Q18" s="311">
        <v>70</v>
      </c>
      <c r="R18" s="311">
        <v>53.5</v>
      </c>
    </row>
    <row r="19" spans="1:21" ht="24.75" customHeight="1" x14ac:dyDescent="0.2">
      <c r="A19" s="306" t="s">
        <v>179</v>
      </c>
      <c r="B19" s="307" t="s">
        <v>166</v>
      </c>
      <c r="C19" s="308" t="s">
        <v>167</v>
      </c>
      <c r="D19" s="309">
        <v>24.8</v>
      </c>
      <c r="E19" s="309">
        <v>6.9</v>
      </c>
      <c r="F19" s="309">
        <v>8.6</v>
      </c>
      <c r="G19" s="309">
        <v>3</v>
      </c>
      <c r="H19" s="309">
        <v>8.6</v>
      </c>
      <c r="I19" s="309">
        <v>3.8</v>
      </c>
      <c r="J19" s="309">
        <v>4.5</v>
      </c>
      <c r="K19" s="309">
        <v>19.100000000000001</v>
      </c>
      <c r="L19" s="311">
        <v>15.850000000000001</v>
      </c>
      <c r="M19" s="311">
        <v>5.8</v>
      </c>
      <c r="N19" s="311">
        <v>6.1999999999999993</v>
      </c>
      <c r="O19" s="311">
        <v>11.8</v>
      </c>
      <c r="P19" s="311">
        <v>9.9125000000000014</v>
      </c>
      <c r="Q19" s="311">
        <v>11.625</v>
      </c>
      <c r="R19" s="311">
        <v>8.1999999999999993</v>
      </c>
      <c r="T19" s="298">
        <v>106</v>
      </c>
    </row>
    <row r="20" spans="1:21" ht="24.75" customHeight="1" x14ac:dyDescent="0.2">
      <c r="A20" s="306" t="s">
        <v>180</v>
      </c>
      <c r="B20" s="307" t="s">
        <v>166</v>
      </c>
      <c r="C20" s="308" t="s">
        <v>167</v>
      </c>
      <c r="D20" s="309">
        <v>25.1</v>
      </c>
      <c r="E20" s="309">
        <v>19.600000000000001</v>
      </c>
      <c r="F20" s="309">
        <v>26.8</v>
      </c>
      <c r="G20" s="309">
        <v>19.7</v>
      </c>
      <c r="H20" s="309">
        <v>17.600000000000001</v>
      </c>
      <c r="I20" s="309">
        <v>21.7</v>
      </c>
      <c r="J20" s="309">
        <v>19.3</v>
      </c>
      <c r="K20" s="309">
        <v>28.4</v>
      </c>
      <c r="L20" s="311">
        <v>22.35</v>
      </c>
      <c r="M20" s="311">
        <v>23.25</v>
      </c>
      <c r="N20" s="311">
        <v>19.649999999999999</v>
      </c>
      <c r="O20" s="311">
        <v>23.85</v>
      </c>
      <c r="P20" s="311">
        <v>22.275000000000002</v>
      </c>
      <c r="Q20" s="311">
        <v>22.2</v>
      </c>
      <c r="R20" s="311">
        <v>22.35</v>
      </c>
      <c r="T20" s="298">
        <v>176</v>
      </c>
    </row>
    <row r="21" spans="1:21" ht="24.75" customHeight="1" x14ac:dyDescent="0.2">
      <c r="A21" s="306" t="s">
        <v>181</v>
      </c>
      <c r="B21" s="307" t="s">
        <v>166</v>
      </c>
      <c r="C21" s="308" t="s">
        <v>167</v>
      </c>
      <c r="D21" s="322">
        <v>0.9</v>
      </c>
      <c r="E21" s="309" t="s">
        <v>210</v>
      </c>
      <c r="F21" s="322" t="s">
        <v>210</v>
      </c>
      <c r="G21" s="309">
        <v>0.1</v>
      </c>
      <c r="H21" s="322">
        <v>0.5</v>
      </c>
      <c r="I21" s="322" t="s">
        <v>210</v>
      </c>
      <c r="J21" s="309" t="s">
        <v>210</v>
      </c>
      <c r="K21" s="322" t="s">
        <v>210</v>
      </c>
      <c r="L21" s="311">
        <v>0.47500000000000003</v>
      </c>
      <c r="M21" s="311">
        <v>7.5000000000000011E-2</v>
      </c>
      <c r="N21" s="311">
        <v>0.27500000000000002</v>
      </c>
      <c r="O21" s="311" t="s">
        <v>210</v>
      </c>
      <c r="P21" s="311">
        <v>0.21875000000000003</v>
      </c>
      <c r="Q21" s="311">
        <v>0.37500000000000006</v>
      </c>
      <c r="R21" s="311">
        <v>6.25E-2</v>
      </c>
      <c r="T21" s="298">
        <v>1.8</v>
      </c>
      <c r="U21" s="297" t="s">
        <v>211</v>
      </c>
    </row>
    <row r="22" spans="1:21" ht="24.75" customHeight="1" x14ac:dyDescent="0.2">
      <c r="A22" s="306" t="s">
        <v>182</v>
      </c>
      <c r="B22" s="307" t="s">
        <v>166</v>
      </c>
      <c r="C22" s="308" t="s">
        <v>167</v>
      </c>
      <c r="D22" s="309">
        <v>6</v>
      </c>
      <c r="E22" s="309">
        <v>5.4</v>
      </c>
      <c r="F22" s="309">
        <v>10.1</v>
      </c>
      <c r="G22" s="309">
        <v>7.6</v>
      </c>
      <c r="H22" s="309">
        <v>10.3</v>
      </c>
      <c r="I22" s="309">
        <v>10.8</v>
      </c>
      <c r="J22" s="309">
        <v>6.7</v>
      </c>
      <c r="K22" s="309">
        <v>17.3</v>
      </c>
      <c r="L22" s="311">
        <v>5.7</v>
      </c>
      <c r="M22" s="311">
        <v>8.85</v>
      </c>
      <c r="N22" s="311">
        <v>10.55</v>
      </c>
      <c r="O22" s="311">
        <v>12</v>
      </c>
      <c r="P22" s="311">
        <v>9.2750000000000004</v>
      </c>
      <c r="Q22" s="311">
        <v>8.2750000000000004</v>
      </c>
      <c r="R22" s="311">
        <v>10.275</v>
      </c>
      <c r="T22" s="298">
        <v>70.599999999999994</v>
      </c>
    </row>
    <row r="23" spans="1:21" ht="24.75" customHeight="1" x14ac:dyDescent="0.2">
      <c r="A23" s="306" t="s">
        <v>183</v>
      </c>
      <c r="B23" s="307" t="s">
        <v>166</v>
      </c>
      <c r="C23" s="308" t="s">
        <v>167</v>
      </c>
      <c r="D23" s="309">
        <v>3.1</v>
      </c>
      <c r="E23" s="309">
        <v>4.9000000000000004</v>
      </c>
      <c r="F23" s="309">
        <v>4.8</v>
      </c>
      <c r="G23" s="309">
        <v>4.3</v>
      </c>
      <c r="H23" s="309">
        <v>12</v>
      </c>
      <c r="I23" s="309">
        <v>4.7</v>
      </c>
      <c r="J23" s="309">
        <v>3.7</v>
      </c>
      <c r="K23" s="309">
        <v>9</v>
      </c>
      <c r="L23" s="311">
        <v>4</v>
      </c>
      <c r="M23" s="311">
        <v>4.55</v>
      </c>
      <c r="N23" s="311">
        <v>8.35</v>
      </c>
      <c r="O23" s="311">
        <v>6.35</v>
      </c>
      <c r="P23" s="311">
        <v>5.8125000000000009</v>
      </c>
      <c r="Q23" s="311">
        <v>5.8999999999999995</v>
      </c>
      <c r="R23" s="311">
        <v>5.7249999999999996</v>
      </c>
      <c r="T23" s="298">
        <v>35.299999999999997</v>
      </c>
    </row>
    <row r="24" spans="1:21" ht="24.75" customHeight="1" x14ac:dyDescent="0.2">
      <c r="A24" s="306" t="s">
        <v>184</v>
      </c>
      <c r="B24" s="307" t="s">
        <v>166</v>
      </c>
      <c r="C24" s="308" t="s">
        <v>167</v>
      </c>
      <c r="D24" s="309">
        <v>76.400000000000006</v>
      </c>
      <c r="E24" s="309">
        <v>50.7</v>
      </c>
      <c r="F24" s="309">
        <v>86.2</v>
      </c>
      <c r="G24" s="309">
        <v>38.299999999999997</v>
      </c>
      <c r="H24" s="309">
        <v>156.1</v>
      </c>
      <c r="I24" s="309">
        <v>108.5</v>
      </c>
      <c r="J24" s="309">
        <v>65.400000000000006</v>
      </c>
      <c r="K24" s="309">
        <v>92.1</v>
      </c>
      <c r="L24" s="311">
        <v>63.550000000000004</v>
      </c>
      <c r="M24" s="311">
        <v>62.25</v>
      </c>
      <c r="N24" s="311">
        <v>132.30000000000001</v>
      </c>
      <c r="O24" s="311">
        <v>78.75</v>
      </c>
      <c r="P24" s="311">
        <v>84.212500000000006</v>
      </c>
      <c r="Q24" s="311">
        <v>96.025000000000006</v>
      </c>
      <c r="R24" s="311">
        <v>72.400000000000006</v>
      </c>
      <c r="T24" s="298">
        <v>353</v>
      </c>
    </row>
    <row r="25" spans="1:21" ht="24.75" customHeight="1" x14ac:dyDescent="0.2">
      <c r="A25" s="306" t="s">
        <v>185</v>
      </c>
      <c r="B25" s="307" t="s">
        <v>186</v>
      </c>
      <c r="C25" s="308" t="s">
        <v>167</v>
      </c>
      <c r="D25" s="309">
        <v>0.1</v>
      </c>
      <c r="E25" s="309">
        <v>0.1</v>
      </c>
      <c r="F25" s="310">
        <v>0.1</v>
      </c>
      <c r="G25" s="310">
        <v>0.1</v>
      </c>
      <c r="H25" s="310">
        <v>0.1</v>
      </c>
      <c r="I25" s="310">
        <v>0.1</v>
      </c>
      <c r="J25" s="310">
        <v>0.1</v>
      </c>
      <c r="K25" s="310">
        <v>0.1</v>
      </c>
      <c r="L25" s="311">
        <v>0.1</v>
      </c>
      <c r="M25" s="311">
        <v>0.1</v>
      </c>
      <c r="N25" s="311">
        <v>0.1</v>
      </c>
      <c r="O25" s="311">
        <v>0.1</v>
      </c>
      <c r="P25" s="311">
        <v>9.9999999999999992E-2</v>
      </c>
      <c r="Q25" s="311">
        <v>0.1</v>
      </c>
      <c r="R25" s="311">
        <v>0.1</v>
      </c>
      <c r="T25" s="298">
        <v>1.2</v>
      </c>
      <c r="U25" s="297" t="s">
        <v>211</v>
      </c>
    </row>
    <row r="26" spans="1:21" ht="24.75" customHeight="1" x14ac:dyDescent="0.2">
      <c r="A26" s="306" t="s">
        <v>187</v>
      </c>
      <c r="B26" s="307" t="s">
        <v>166</v>
      </c>
      <c r="C26" s="308" t="s">
        <v>167</v>
      </c>
      <c r="D26" s="309">
        <v>0.4</v>
      </c>
      <c r="E26" s="309" t="s">
        <v>210</v>
      </c>
      <c r="F26" s="310">
        <v>0.8</v>
      </c>
      <c r="G26" s="310">
        <v>0.6</v>
      </c>
      <c r="H26" s="310">
        <v>0.2</v>
      </c>
      <c r="I26" s="310">
        <v>0.7</v>
      </c>
      <c r="J26" s="310">
        <v>0.3</v>
      </c>
      <c r="K26" s="310">
        <v>1</v>
      </c>
      <c r="L26" s="311">
        <v>0.4</v>
      </c>
      <c r="M26" s="311">
        <v>0.7</v>
      </c>
      <c r="N26" s="311">
        <v>0.44999999999999996</v>
      </c>
      <c r="O26" s="311">
        <v>0.65</v>
      </c>
      <c r="P26" s="311">
        <v>0.5714285714285714</v>
      </c>
      <c r="Q26" s="311">
        <v>0.42500000000000004</v>
      </c>
      <c r="R26" s="311">
        <v>0.76666666666666661</v>
      </c>
      <c r="T26" s="298">
        <v>10.6</v>
      </c>
    </row>
    <row r="27" spans="1:21" ht="24.75" customHeight="1" x14ac:dyDescent="0.2">
      <c r="A27" s="306" t="s">
        <v>188</v>
      </c>
      <c r="B27" s="307" t="s">
        <v>166</v>
      </c>
      <c r="C27" s="308" t="s">
        <v>167</v>
      </c>
      <c r="D27" s="322" t="s">
        <v>210</v>
      </c>
      <c r="E27" s="322">
        <v>0.1</v>
      </c>
      <c r="F27" s="322" t="s">
        <v>210</v>
      </c>
      <c r="G27" s="322" t="s">
        <v>210</v>
      </c>
      <c r="H27" s="322" t="s">
        <v>210</v>
      </c>
      <c r="I27" s="309">
        <v>0.1</v>
      </c>
      <c r="J27" s="322" t="s">
        <v>210</v>
      </c>
      <c r="K27" s="322" t="s">
        <v>210</v>
      </c>
      <c r="L27" s="312">
        <v>7.5000000000000011E-2</v>
      </c>
      <c r="M27" s="312">
        <v>0.05</v>
      </c>
      <c r="N27" s="312">
        <v>7.5000000000000011E-2</v>
      </c>
      <c r="O27" s="312">
        <v>0.05</v>
      </c>
      <c r="P27" s="312">
        <v>6.25E-2</v>
      </c>
      <c r="Q27" s="312">
        <v>0.05</v>
      </c>
      <c r="R27" s="312">
        <v>7.4999999999999997E-2</v>
      </c>
      <c r="T27" s="298">
        <v>7.1</v>
      </c>
    </row>
    <row r="28" spans="1:21" ht="24.75" customHeight="1" x14ac:dyDescent="0.2">
      <c r="A28" s="306" t="s">
        <v>212</v>
      </c>
      <c r="B28" s="323" t="s">
        <v>172</v>
      </c>
      <c r="C28" s="308" t="s">
        <v>162</v>
      </c>
      <c r="D28" s="324">
        <v>43.8</v>
      </c>
      <c r="E28" s="324">
        <v>42.8</v>
      </c>
      <c r="F28" s="324">
        <v>47.2</v>
      </c>
      <c r="G28" s="324">
        <v>41.9</v>
      </c>
      <c r="H28" s="324">
        <v>50.4</v>
      </c>
      <c r="I28" s="324">
        <v>43</v>
      </c>
      <c r="J28" s="324">
        <v>40</v>
      </c>
      <c r="K28" s="324">
        <v>39</v>
      </c>
      <c r="L28" s="311">
        <v>43.3</v>
      </c>
      <c r="M28" s="311">
        <v>44.55</v>
      </c>
      <c r="N28" s="311">
        <v>46.7</v>
      </c>
      <c r="O28" s="311">
        <v>39.5</v>
      </c>
      <c r="P28" s="311">
        <v>43.512500000000003</v>
      </c>
      <c r="Q28" s="311">
        <v>45.35</v>
      </c>
      <c r="R28" s="311">
        <v>41.674999999999997</v>
      </c>
      <c r="T28" s="298">
        <v>70</v>
      </c>
    </row>
    <row r="29" spans="1:21" ht="24.75" customHeight="1" x14ac:dyDescent="0.2">
      <c r="A29" s="306" t="s">
        <v>190</v>
      </c>
      <c r="B29" s="307" t="s">
        <v>191</v>
      </c>
      <c r="C29" s="308" t="s">
        <v>192</v>
      </c>
      <c r="D29" s="313">
        <v>4202</v>
      </c>
      <c r="E29" s="313">
        <v>4397</v>
      </c>
      <c r="F29" s="313">
        <v>3946</v>
      </c>
      <c r="G29" s="313">
        <v>3959</v>
      </c>
      <c r="H29" s="313">
        <v>4344</v>
      </c>
      <c r="I29" s="313">
        <v>4341</v>
      </c>
      <c r="J29" s="313">
        <v>4293</v>
      </c>
      <c r="K29" s="313">
        <v>4126</v>
      </c>
      <c r="L29" s="314">
        <v>4299.5</v>
      </c>
      <c r="M29" s="314">
        <v>3952.5</v>
      </c>
      <c r="N29" s="314">
        <v>4342.5</v>
      </c>
      <c r="O29" s="314">
        <v>4209.5</v>
      </c>
      <c r="P29" s="314">
        <v>4201</v>
      </c>
      <c r="Q29" s="314">
        <v>4196.25</v>
      </c>
      <c r="R29" s="314">
        <v>4205.75</v>
      </c>
    </row>
    <row r="30" spans="1:21" ht="24.75" customHeight="1" x14ac:dyDescent="0.2">
      <c r="A30" s="306" t="s">
        <v>193</v>
      </c>
      <c r="B30" s="307" t="s">
        <v>164</v>
      </c>
      <c r="C30" s="308" t="s">
        <v>162</v>
      </c>
      <c r="D30" s="309">
        <v>43.6</v>
      </c>
      <c r="E30" s="309">
        <v>44.5</v>
      </c>
      <c r="F30" s="309">
        <v>40.299999999999997</v>
      </c>
      <c r="G30" s="309">
        <v>40.5</v>
      </c>
      <c r="H30" s="309">
        <v>44.4</v>
      </c>
      <c r="I30" s="309">
        <v>43.9</v>
      </c>
      <c r="J30" s="309">
        <v>43.6</v>
      </c>
      <c r="K30" s="309">
        <v>41.9</v>
      </c>
      <c r="L30" s="311">
        <v>44.05</v>
      </c>
      <c r="M30" s="311">
        <v>40.4</v>
      </c>
      <c r="N30" s="311">
        <v>44.15</v>
      </c>
      <c r="O30" s="311">
        <v>42.75</v>
      </c>
      <c r="P30" s="311">
        <v>42.837499999999999</v>
      </c>
      <c r="Q30" s="311">
        <v>42.975000000000001</v>
      </c>
      <c r="R30" s="311">
        <v>42.7</v>
      </c>
    </row>
    <row r="31" spans="1:21" ht="25.5" customHeight="1" x14ac:dyDescent="0.2">
      <c r="A31" s="306" t="s">
        <v>194</v>
      </c>
      <c r="B31" s="307" t="s">
        <v>164</v>
      </c>
      <c r="C31" s="308" t="s">
        <v>162</v>
      </c>
      <c r="D31" s="309">
        <v>5.79</v>
      </c>
      <c r="E31" s="309">
        <v>6.03</v>
      </c>
      <c r="F31" s="309">
        <v>5.3</v>
      </c>
      <c r="G31" s="309">
        <v>5.23</v>
      </c>
      <c r="H31" s="309">
        <v>5.75</v>
      </c>
      <c r="I31" s="309">
        <v>5.57</v>
      </c>
      <c r="J31" s="309">
        <v>5.7</v>
      </c>
      <c r="K31" s="309">
        <v>5.55</v>
      </c>
      <c r="L31" s="312">
        <v>5.91</v>
      </c>
      <c r="M31" s="312">
        <v>5.2650000000000006</v>
      </c>
      <c r="N31" s="312">
        <v>5.66</v>
      </c>
      <c r="O31" s="312">
        <v>5.625</v>
      </c>
      <c r="P31" s="312">
        <v>5.6150000000000002</v>
      </c>
      <c r="Q31" s="312">
        <v>5.6349999999999998</v>
      </c>
      <c r="R31" s="312">
        <v>5.5950000000000006</v>
      </c>
    </row>
    <row r="32" spans="1:21" ht="25.5" customHeight="1" x14ac:dyDescent="0.2">
      <c r="A32" s="306" t="s">
        <v>213</v>
      </c>
      <c r="B32" s="584" t="s">
        <v>191</v>
      </c>
      <c r="C32" s="308" t="s">
        <v>192</v>
      </c>
      <c r="D32" s="313">
        <v>3917</v>
      </c>
      <c r="E32" s="313">
        <v>4100</v>
      </c>
      <c r="F32" s="313">
        <v>3685</v>
      </c>
      <c r="G32" s="313">
        <v>3702</v>
      </c>
      <c r="H32" s="313">
        <v>4061</v>
      </c>
      <c r="I32" s="313">
        <v>4067</v>
      </c>
      <c r="J32" s="313">
        <v>4013</v>
      </c>
      <c r="K32" s="313">
        <v>3853</v>
      </c>
      <c r="L32" s="314">
        <v>4008.5</v>
      </c>
      <c r="M32" s="314">
        <v>3693.5</v>
      </c>
      <c r="N32" s="314">
        <v>4064</v>
      </c>
      <c r="O32" s="314">
        <v>3933</v>
      </c>
      <c r="P32" s="314">
        <v>3924.75</v>
      </c>
      <c r="Q32" s="314">
        <v>3919</v>
      </c>
      <c r="R32" s="314">
        <v>3930.5</v>
      </c>
    </row>
    <row r="33" spans="1:20" ht="24.75" customHeight="1" x14ac:dyDescent="0.2">
      <c r="A33" s="306" t="s">
        <v>214</v>
      </c>
      <c r="B33" s="586"/>
      <c r="C33" s="308" t="s">
        <v>192</v>
      </c>
      <c r="D33" s="325">
        <v>2198.9450000000002</v>
      </c>
      <c r="E33" s="325">
        <v>2342.8460000000005</v>
      </c>
      <c r="F33" s="325">
        <v>1943.0840000000001</v>
      </c>
      <c r="G33" s="325">
        <v>2148.5574999999999</v>
      </c>
      <c r="H33" s="325">
        <v>2011.4840000000002</v>
      </c>
      <c r="I33" s="325">
        <v>2315.8249999999998</v>
      </c>
      <c r="J33" s="325">
        <v>2405.6</v>
      </c>
      <c r="K33" s="325">
        <v>2348.1849999999999</v>
      </c>
      <c r="L33" s="314">
        <v>2270.8955000000005</v>
      </c>
      <c r="M33" s="314">
        <v>2045.8207499999999</v>
      </c>
      <c r="N33" s="314">
        <v>2163.6545000000001</v>
      </c>
      <c r="O33" s="314">
        <v>2376.8924999999999</v>
      </c>
      <c r="P33" s="314">
        <v>2214.3158125</v>
      </c>
      <c r="Q33" s="314">
        <v>2139.7782500000003</v>
      </c>
      <c r="R33" s="314">
        <v>2288.8533750000001</v>
      </c>
    </row>
    <row r="34" spans="1:20" x14ac:dyDescent="0.2"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</row>
    <row r="35" spans="1:20" ht="26.1" customHeight="1" x14ac:dyDescent="0.2">
      <c r="A35" s="301" t="s">
        <v>140</v>
      </c>
      <c r="B35" s="302" t="s">
        <v>141</v>
      </c>
      <c r="C35" s="303" t="s">
        <v>142</v>
      </c>
      <c r="D35" s="304" t="s">
        <v>215</v>
      </c>
      <c r="E35" s="304" t="s">
        <v>216</v>
      </c>
      <c r="F35" s="304" t="s">
        <v>217</v>
      </c>
      <c r="G35" s="304" t="s">
        <v>218</v>
      </c>
      <c r="H35" s="304" t="s">
        <v>219</v>
      </c>
      <c r="I35" s="304" t="s">
        <v>220</v>
      </c>
      <c r="J35" s="304" t="s">
        <v>221</v>
      </c>
      <c r="K35" s="304" t="s">
        <v>222</v>
      </c>
      <c r="L35" s="305" t="s">
        <v>151</v>
      </c>
      <c r="M35" s="305" t="s">
        <v>152</v>
      </c>
      <c r="N35" s="305" t="s">
        <v>153</v>
      </c>
      <c r="O35" s="305" t="s">
        <v>154</v>
      </c>
      <c r="P35" s="305" t="s">
        <v>203</v>
      </c>
      <c r="Q35" s="305" t="s">
        <v>155</v>
      </c>
      <c r="R35" s="305" t="s">
        <v>156</v>
      </c>
    </row>
    <row r="36" spans="1:20" ht="26.1" customHeight="1" x14ac:dyDescent="0.2">
      <c r="A36" s="306" t="s">
        <v>223</v>
      </c>
      <c r="B36" s="326" t="s">
        <v>172</v>
      </c>
      <c r="C36" s="308" t="s">
        <v>162</v>
      </c>
      <c r="D36" s="311">
        <v>46.589800000000004</v>
      </c>
      <c r="E36" s="311">
        <v>47.132800000000003</v>
      </c>
      <c r="F36" s="311">
        <v>41.342399999999998</v>
      </c>
      <c r="G36" s="311">
        <v>44.911300000000004</v>
      </c>
      <c r="H36" s="311">
        <v>39.68</v>
      </c>
      <c r="I36" s="311">
        <v>47.652000000000001</v>
      </c>
      <c r="J36" s="311">
        <v>48.78</v>
      </c>
      <c r="K36" s="311">
        <v>48.250999999999998</v>
      </c>
      <c r="L36" s="311">
        <v>46.8613</v>
      </c>
      <c r="M36" s="311">
        <v>43.126850000000005</v>
      </c>
      <c r="N36" s="311">
        <v>43.665999999999997</v>
      </c>
      <c r="O36" s="311">
        <v>48.515500000000003</v>
      </c>
      <c r="P36" s="311">
        <v>45.542412499999998</v>
      </c>
      <c r="Q36" s="311">
        <v>44.098050000000001</v>
      </c>
      <c r="R36" s="311">
        <v>46.986775000000002</v>
      </c>
      <c r="S36" s="297">
        <v>20</v>
      </c>
      <c r="T36" s="298">
        <v>100</v>
      </c>
    </row>
    <row r="37" spans="1:20" ht="26.1" customHeight="1" x14ac:dyDescent="0.2">
      <c r="A37" s="306" t="s">
        <v>224</v>
      </c>
      <c r="B37" s="326" t="s">
        <v>172</v>
      </c>
      <c r="C37" s="308" t="s">
        <v>162</v>
      </c>
      <c r="D37" s="312">
        <v>0.76645560000000001</v>
      </c>
      <c r="E37" s="312">
        <v>0.92162928000000011</v>
      </c>
      <c r="F37" s="312">
        <v>1.5025495</v>
      </c>
      <c r="G37" s="312">
        <v>0.93876237000000007</v>
      </c>
      <c r="H37" s="312">
        <v>1.1161736</v>
      </c>
      <c r="I37" s="312">
        <v>1.0963608</v>
      </c>
      <c r="J37" s="312">
        <v>0.99841799999999992</v>
      </c>
      <c r="K37" s="312">
        <v>1.2509697</v>
      </c>
      <c r="L37" s="312">
        <v>0.84404244000000006</v>
      </c>
      <c r="M37" s="312">
        <v>1.2206559349999999</v>
      </c>
      <c r="N37" s="312">
        <v>1.1062672</v>
      </c>
      <c r="O37" s="312">
        <v>1.1246938499999999</v>
      </c>
      <c r="P37" s="312">
        <v>1.07391485625</v>
      </c>
      <c r="Q37" s="312">
        <v>1.095899175</v>
      </c>
      <c r="R37" s="312">
        <v>1.0519305375000001</v>
      </c>
      <c r="S37" s="297" t="s">
        <v>211</v>
      </c>
      <c r="T37" s="298">
        <v>7</v>
      </c>
    </row>
  </sheetData>
  <mergeCells count="9">
    <mergeCell ref="B10:B13"/>
    <mergeCell ref="B16:B18"/>
    <mergeCell ref="B32:B33"/>
    <mergeCell ref="D1:G1"/>
    <mergeCell ref="H1:K1"/>
    <mergeCell ref="D2:G2"/>
    <mergeCell ref="H2:K2"/>
    <mergeCell ref="D3:G3"/>
    <mergeCell ref="H3:K3"/>
  </mergeCells>
  <conditionalFormatting sqref="D14:K14">
    <cfRule type="cellIs" dxfId="112" priority="23" operator="lessThan">
      <formula>$T$14</formula>
    </cfRule>
  </conditionalFormatting>
  <conditionalFormatting sqref="D19:E19 H19:K19">
    <cfRule type="cellIs" dxfId="111" priority="22" operator="greaterThan">
      <formula>$T$19</formula>
    </cfRule>
  </conditionalFormatting>
  <conditionalFormatting sqref="D20:E20 H20:K20">
    <cfRule type="cellIs" dxfId="110" priority="21" operator="greaterThan">
      <formula>$T$20</formula>
    </cfRule>
  </conditionalFormatting>
  <conditionalFormatting sqref="D21:E21 H21:K21">
    <cfRule type="cellIs" dxfId="109" priority="20" operator="greaterThan">
      <formula>$T$21</formula>
    </cfRule>
  </conditionalFormatting>
  <conditionalFormatting sqref="D22:E22 H22:R22">
    <cfRule type="cellIs" dxfId="108" priority="19" operator="greaterThan">
      <formula>$T$22</formula>
    </cfRule>
  </conditionalFormatting>
  <conditionalFormatting sqref="D23:E23 H23:R23">
    <cfRule type="cellIs" dxfId="107" priority="18" operator="greaterThan">
      <formula>$T$23</formula>
    </cfRule>
  </conditionalFormatting>
  <conditionalFormatting sqref="D24:E25 H24:R25">
    <cfRule type="cellIs" dxfId="106" priority="17" operator="greaterThan">
      <formula>$T$24</formula>
    </cfRule>
  </conditionalFormatting>
  <conditionalFormatting sqref="D26:E26 L27:R27 H26:R26">
    <cfRule type="cellIs" dxfId="105" priority="16" operator="greaterThan">
      <formula>$T$24</formula>
    </cfRule>
  </conditionalFormatting>
  <conditionalFormatting sqref="D27:E27 H27:K27">
    <cfRule type="cellIs" dxfId="104" priority="15" operator="greaterThan">
      <formula>$T$27</formula>
    </cfRule>
  </conditionalFormatting>
  <conditionalFormatting sqref="D28:R28">
    <cfRule type="cellIs" dxfId="103" priority="14" operator="greaterThan">
      <formula>$T$28</formula>
    </cfRule>
  </conditionalFormatting>
  <conditionalFormatting sqref="D37:R37">
    <cfRule type="cellIs" dxfId="102" priority="13" operator="greaterThan">
      <formula>$T$37</formula>
    </cfRule>
  </conditionalFormatting>
  <conditionalFormatting sqref="D36:R36">
    <cfRule type="cellIs" dxfId="101" priority="11" operator="lessThan">
      <formula>$S$36</formula>
    </cfRule>
    <cfRule type="cellIs" dxfId="100" priority="12" operator="greaterThan">
      <formula>$T$36</formula>
    </cfRule>
  </conditionalFormatting>
  <conditionalFormatting sqref="D15:K15">
    <cfRule type="cellIs" dxfId="99" priority="10" operator="lessThan">
      <formula>$T$14</formula>
    </cfRule>
  </conditionalFormatting>
  <conditionalFormatting sqref="F19:G19">
    <cfRule type="cellIs" dxfId="98" priority="9" operator="greaterThan">
      <formula>$T$19</formula>
    </cfRule>
  </conditionalFormatting>
  <conditionalFormatting sqref="F20:G20">
    <cfRule type="cellIs" dxfId="97" priority="8" operator="greaterThan">
      <formula>$T$20</formula>
    </cfRule>
  </conditionalFormatting>
  <conditionalFormatting sqref="F21:G21">
    <cfRule type="cellIs" dxfId="96" priority="7" operator="greaterThan">
      <formula>$T$21</formula>
    </cfRule>
  </conditionalFormatting>
  <conditionalFormatting sqref="F22:G22">
    <cfRule type="cellIs" dxfId="95" priority="6" operator="greaterThan">
      <formula>$T$22</formula>
    </cfRule>
  </conditionalFormatting>
  <conditionalFormatting sqref="F23:G23">
    <cfRule type="cellIs" dxfId="94" priority="5" operator="greaterThan">
      <formula>$T$23</formula>
    </cfRule>
  </conditionalFormatting>
  <conditionalFormatting sqref="F24:G25">
    <cfRule type="cellIs" dxfId="93" priority="4" operator="greaterThan">
      <formula>$T$24</formula>
    </cfRule>
  </conditionalFormatting>
  <conditionalFormatting sqref="F26:G26">
    <cfRule type="cellIs" dxfId="92" priority="3" operator="greaterThan">
      <formula>$T$24</formula>
    </cfRule>
  </conditionalFormatting>
  <conditionalFormatting sqref="F27">
    <cfRule type="cellIs" dxfId="91" priority="2" operator="greaterThan">
      <formula>$T$27</formula>
    </cfRule>
  </conditionalFormatting>
  <conditionalFormatting sqref="G27">
    <cfRule type="cellIs" dxfId="90" priority="1" operator="greaterThan">
      <formula>$T$27</formula>
    </cfRule>
  </conditionalFormatting>
  <pageMargins left="0.27559055118110237" right="0.19685039370078741" top="0.19685039370078741" bottom="0.78740157480314965" header="0" footer="0.51181102362204722"/>
  <pageSetup paperSize="9" fitToWidth="0" orientation="portrait" horizontalDpi="4294967294" r:id="rId1"/>
  <headerFooter alignWithMargins="0">
    <oddFooter xml:space="preserve">&amp;L&amp;"Rockwell,Gras"&amp;P/&amp;N&amp;C&amp;"Rockwell,Gras"&amp;D&amp;R&amp;"Rockwell,Gras"&amp;F </oddFooter>
  </headerFooter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S30"/>
  <sheetViews>
    <sheetView zoomScale="70" zoomScaleNormal="70" workbookViewId="0">
      <pane xSplit="3" ySplit="4" topLeftCell="D20" activePane="bottomRight" state="frozen"/>
      <selection activeCell="O13" sqref="O13"/>
      <selection pane="topRight" activeCell="O13" sqref="O13"/>
      <selection pane="bottomLeft" activeCell="O13" sqref="O13"/>
      <selection pane="bottomRight" activeCell="O13" sqref="O13"/>
    </sheetView>
  </sheetViews>
  <sheetFormatPr baseColWidth="10" defaultRowHeight="15" x14ac:dyDescent="0.25"/>
  <cols>
    <col min="1" max="1" width="17.42578125" style="266" bestFit="1" customWidth="1"/>
    <col min="2" max="2" width="14.28515625" style="266" hidden="1" customWidth="1"/>
    <col min="3" max="3" width="14.28515625" style="266" customWidth="1"/>
    <col min="4" max="4" width="14" style="266" bestFit="1" customWidth="1"/>
    <col min="5" max="5" width="12.42578125" style="266" customWidth="1"/>
    <col min="6" max="6" width="15.42578125" style="266" customWidth="1"/>
    <col min="7" max="7" width="16.28515625" style="266" bestFit="1" customWidth="1"/>
    <col min="8" max="9" width="11.42578125" style="266"/>
    <col min="10" max="10" width="15.28515625" style="266" bestFit="1" customWidth="1"/>
    <col min="11" max="11" width="13.5703125" style="344" customWidth="1"/>
    <col min="12" max="12" width="16.42578125" style="344" bestFit="1" customWidth="1"/>
    <col min="13" max="13" width="11.42578125" style="344"/>
    <col min="14" max="14" width="13.140625" style="344" bestFit="1" customWidth="1"/>
    <col min="15" max="15" width="11.42578125" style="344"/>
    <col min="16" max="18" width="17" style="344" customWidth="1"/>
    <col min="19" max="19" width="11.42578125" style="267"/>
    <col min="20" max="20" width="22.42578125" style="328" bestFit="1" customWidth="1"/>
    <col min="21" max="21" width="13.140625" style="328" bestFit="1" customWidth="1"/>
    <col min="22" max="22" width="10" style="328" bestFit="1" customWidth="1"/>
    <col min="23" max="23" width="12.85546875" style="328" bestFit="1" customWidth="1"/>
    <col min="24" max="24" width="16" style="328" bestFit="1" customWidth="1"/>
    <col min="25" max="25" width="7.28515625" style="328" bestFit="1" customWidth="1"/>
    <col min="26" max="26" width="9.140625" style="328" bestFit="1" customWidth="1"/>
    <col min="27" max="27" width="17.7109375" style="328" bestFit="1" customWidth="1"/>
    <col min="28" max="28" width="20" style="328" bestFit="1" customWidth="1"/>
    <col min="29" max="29" width="19.140625" style="328" bestFit="1" customWidth="1"/>
    <col min="30" max="30" width="9.5703125" style="328" bestFit="1" customWidth="1"/>
    <col min="31" max="31" width="13.85546875" style="328" bestFit="1" customWidth="1"/>
    <col min="32" max="32" width="9.7109375" style="328" bestFit="1" customWidth="1"/>
    <col min="33" max="33" width="10.140625" style="328" bestFit="1" customWidth="1"/>
    <col min="34" max="34" width="21" style="328" bestFit="1" customWidth="1"/>
    <col min="35" max="35" width="7.42578125" style="328" bestFit="1" customWidth="1"/>
    <col min="36" max="36" width="11.42578125" style="288"/>
    <col min="37" max="37" width="24" style="288" bestFit="1" customWidth="1"/>
    <col min="38" max="38" width="13.7109375" style="288" bestFit="1" customWidth="1"/>
    <col min="39" max="39" width="11.28515625" style="288" bestFit="1" customWidth="1"/>
    <col min="40" max="40" width="13.28515625" style="288" bestFit="1" customWidth="1"/>
    <col min="41" max="41" width="16.85546875" style="288" bestFit="1" customWidth="1"/>
    <col min="42" max="42" width="8" style="288" bestFit="1" customWidth="1"/>
    <col min="43" max="43" width="11.28515625" style="288" bestFit="1" customWidth="1"/>
    <col min="44" max="44" width="18.28515625" style="288" bestFit="1" customWidth="1"/>
    <col min="45" max="45" width="20.5703125" style="288" hidden="1" customWidth="1"/>
    <col min="46" max="46" width="19.42578125" style="288" bestFit="1" customWidth="1"/>
    <col min="47" max="47" width="10.140625" style="288" bestFit="1" customWidth="1"/>
    <col min="48" max="48" width="14.7109375" style="288" bestFit="1" customWidth="1"/>
    <col min="49" max="49" width="10.140625" style="288" bestFit="1" customWidth="1"/>
    <col min="50" max="50" width="10.5703125" style="288" bestFit="1" customWidth="1"/>
    <col min="51" max="51" width="22" style="288" bestFit="1" customWidth="1"/>
    <col min="52" max="52" width="11.28515625" style="288" bestFit="1" customWidth="1"/>
    <col min="53" max="53" width="11.42578125" style="288"/>
    <col min="54" max="54" width="22" style="288" bestFit="1" customWidth="1"/>
    <col min="55" max="55" width="13.7109375" style="288" bestFit="1" customWidth="1"/>
    <col min="56" max="56" width="9.85546875" style="288" bestFit="1" customWidth="1"/>
    <col min="57" max="57" width="10.42578125" style="288" bestFit="1" customWidth="1"/>
    <col min="58" max="58" width="13.42578125" style="288" bestFit="1" customWidth="1"/>
    <col min="59" max="60" width="8.7109375" style="288" bestFit="1" customWidth="1"/>
    <col min="61" max="61" width="14.42578125" style="288" bestFit="1" customWidth="1"/>
    <col min="62" max="62" width="16.28515625" style="288" hidden="1" customWidth="1"/>
    <col min="63" max="63" width="15.42578125" style="288" bestFit="1" customWidth="1"/>
    <col min="64" max="64" width="8.7109375" style="288" bestFit="1" customWidth="1"/>
    <col min="65" max="65" width="11.5703125" style="288" bestFit="1" customWidth="1"/>
    <col min="66" max="67" width="9.85546875" style="288" bestFit="1" customWidth="1"/>
    <col min="68" max="68" width="16.85546875" style="288" bestFit="1" customWidth="1"/>
    <col min="69" max="69" width="8.7109375" style="288" bestFit="1" customWidth="1"/>
    <col min="70" max="71" width="11.42578125" style="288"/>
    <col min="72" max="16384" width="11.42578125" style="267"/>
  </cols>
  <sheetData>
    <row r="1" spans="1:71" ht="32.25" customHeight="1" x14ac:dyDescent="0.25">
      <c r="D1" s="580" t="s">
        <v>225</v>
      </c>
      <c r="E1" s="580"/>
      <c r="F1" s="580"/>
      <c r="G1" s="580"/>
      <c r="H1" s="580" t="s">
        <v>225</v>
      </c>
      <c r="I1" s="580"/>
      <c r="J1" s="580"/>
      <c r="K1" s="580"/>
      <c r="L1" s="580" t="s">
        <v>225</v>
      </c>
      <c r="M1" s="580"/>
      <c r="N1" s="580"/>
      <c r="O1" s="580"/>
      <c r="P1" s="580" t="s">
        <v>225</v>
      </c>
      <c r="Q1" s="580"/>
      <c r="R1" s="580"/>
    </row>
    <row r="2" spans="1:71" ht="21" customHeight="1" x14ac:dyDescent="0.25">
      <c r="D2" s="581" t="s">
        <v>226</v>
      </c>
      <c r="E2" s="581"/>
      <c r="F2" s="581"/>
      <c r="G2" s="581"/>
      <c r="H2" s="581" t="str">
        <f>D2</f>
        <v>Campagne : Hiver 2015</v>
      </c>
      <c r="I2" s="581"/>
      <c r="J2" s="581"/>
      <c r="K2" s="581"/>
      <c r="L2" s="581" t="str">
        <f>D2</f>
        <v>Campagne : Hiver 2015</v>
      </c>
      <c r="M2" s="581"/>
      <c r="N2" s="581"/>
      <c r="O2" s="581"/>
      <c r="P2" s="581" t="str">
        <f>D2</f>
        <v>Campagne : Hiver 2015</v>
      </c>
      <c r="Q2" s="581"/>
      <c r="R2" s="581"/>
    </row>
    <row r="3" spans="1:71" ht="21" customHeight="1" x14ac:dyDescent="0.25">
      <c r="A3" s="270"/>
      <c r="B3" s="270"/>
      <c r="C3" s="270"/>
      <c r="D3" s="582" t="s">
        <v>139</v>
      </c>
      <c r="E3" s="582"/>
      <c r="F3" s="582"/>
      <c r="G3" s="582"/>
      <c r="H3" s="582" t="s">
        <v>139</v>
      </c>
      <c r="I3" s="582"/>
      <c r="J3" s="582"/>
      <c r="K3" s="582"/>
      <c r="L3" s="582" t="s">
        <v>139</v>
      </c>
      <c r="M3" s="582"/>
      <c r="N3" s="582"/>
      <c r="O3" s="582"/>
      <c r="P3" s="582" t="s">
        <v>139</v>
      </c>
      <c r="Q3" s="582"/>
      <c r="R3" s="582"/>
    </row>
    <row r="4" spans="1:71" ht="30" x14ac:dyDescent="0.25">
      <c r="A4" s="271" t="s">
        <v>140</v>
      </c>
      <c r="B4" s="272" t="s">
        <v>141</v>
      </c>
      <c r="C4" s="273" t="s">
        <v>227</v>
      </c>
      <c r="D4" s="271" t="s">
        <v>228</v>
      </c>
      <c r="E4" s="271" t="s">
        <v>45</v>
      </c>
      <c r="F4" s="271" t="s">
        <v>50</v>
      </c>
      <c r="G4" s="271" t="s">
        <v>109</v>
      </c>
      <c r="H4" s="271" t="s">
        <v>57</v>
      </c>
      <c r="I4" s="271" t="s">
        <v>60</v>
      </c>
      <c r="J4" s="271" t="s">
        <v>229</v>
      </c>
      <c r="K4" s="271" t="s">
        <v>230</v>
      </c>
      <c r="L4" s="271" t="s">
        <v>231</v>
      </c>
      <c r="M4" s="271" t="s">
        <v>232</v>
      </c>
      <c r="N4" s="271" t="s">
        <v>233</v>
      </c>
      <c r="O4" s="271" t="s">
        <v>31</v>
      </c>
      <c r="P4" s="271" t="s">
        <v>37</v>
      </c>
      <c r="Q4" s="271" t="s">
        <v>47</v>
      </c>
      <c r="R4" s="271" t="s">
        <v>234</v>
      </c>
      <c r="T4" s="289" t="s">
        <v>235</v>
      </c>
      <c r="U4" s="289" t="str">
        <f>D4</f>
        <v>Complexes</v>
      </c>
      <c r="V4" s="289" t="str">
        <f t="shared" ref="V4:AG4" si="0">E4</f>
        <v>Textiles</v>
      </c>
      <c r="W4" s="289" t="str">
        <f t="shared" si="0"/>
        <v>Plastiques</v>
      </c>
      <c r="X4" s="289" t="str">
        <f t="shared" si="0"/>
        <v>Combustibles</v>
      </c>
      <c r="Y4" s="289" t="str">
        <f t="shared" si="0"/>
        <v>Verre</v>
      </c>
      <c r="Z4" s="289" t="str">
        <f t="shared" si="0"/>
        <v>Métaux</v>
      </c>
      <c r="AA4" s="289" t="str">
        <f t="shared" si="0"/>
        <v>Incombustibles</v>
      </c>
      <c r="AB4" s="289" t="str">
        <f t="shared" si="0"/>
        <v>Déchets spéciaux</v>
      </c>
      <c r="AC4" s="289" t="str">
        <f t="shared" si="0"/>
        <v>Fermentescibles</v>
      </c>
      <c r="AD4" s="289" t="str">
        <f t="shared" si="0"/>
        <v>Ligneux</v>
      </c>
      <c r="AE4" s="289" t="str">
        <f t="shared" si="0"/>
        <v>Non ligneux</v>
      </c>
      <c r="AF4" s="289" t="str">
        <f t="shared" si="0"/>
        <v>Papiers</v>
      </c>
      <c r="AG4" s="289" t="str">
        <f t="shared" si="0"/>
        <v>Cartons</v>
      </c>
      <c r="AH4" s="289" t="str">
        <f>Q4</f>
        <v>Textiles sanitaires</v>
      </c>
      <c r="AI4" s="289" t="str">
        <f>R4</f>
        <v>Fines</v>
      </c>
      <c r="AK4" s="289" t="s">
        <v>236</v>
      </c>
      <c r="AL4" s="289" t="str">
        <f>U4</f>
        <v>Complexes</v>
      </c>
      <c r="AM4" s="289" t="str">
        <f t="shared" ref="AM4:AX4" si="1">V4</f>
        <v>Textiles</v>
      </c>
      <c r="AN4" s="289" t="str">
        <f t="shared" si="1"/>
        <v>Plastiques</v>
      </c>
      <c r="AO4" s="289" t="str">
        <f t="shared" si="1"/>
        <v>Combustibles</v>
      </c>
      <c r="AP4" s="289" t="str">
        <f t="shared" si="1"/>
        <v>Verre</v>
      </c>
      <c r="AQ4" s="289" t="str">
        <f t="shared" si="1"/>
        <v>Métaux</v>
      </c>
      <c r="AR4" s="289" t="str">
        <f t="shared" si="1"/>
        <v>Incombustibles</v>
      </c>
      <c r="AS4" s="289" t="str">
        <f t="shared" si="1"/>
        <v>Déchets spéciaux</v>
      </c>
      <c r="AT4" s="289" t="str">
        <f t="shared" si="1"/>
        <v>Fermentescibles</v>
      </c>
      <c r="AU4" s="289" t="str">
        <f t="shared" si="1"/>
        <v>Ligneux</v>
      </c>
      <c r="AV4" s="289" t="str">
        <f t="shared" si="1"/>
        <v>Non ligneux</v>
      </c>
      <c r="AW4" s="289" t="str">
        <f t="shared" si="1"/>
        <v>Papiers</v>
      </c>
      <c r="AX4" s="289" t="str">
        <f t="shared" si="1"/>
        <v>Cartons</v>
      </c>
      <c r="AY4" s="289" t="str">
        <f>AH4</f>
        <v>Textiles sanitaires</v>
      </c>
      <c r="AZ4" s="289" t="str">
        <f>AI4</f>
        <v>Fines</v>
      </c>
      <c r="BB4" s="289" t="s">
        <v>237</v>
      </c>
      <c r="BC4" s="289" t="str">
        <f>AL4</f>
        <v>Complexes</v>
      </c>
      <c r="BD4" s="289" t="str">
        <f t="shared" ref="BD4:BO4" si="2">AM4</f>
        <v>Textiles</v>
      </c>
      <c r="BE4" s="289" t="str">
        <f t="shared" si="2"/>
        <v>Plastiques</v>
      </c>
      <c r="BF4" s="289" t="str">
        <f t="shared" si="2"/>
        <v>Combustibles</v>
      </c>
      <c r="BG4" s="289" t="str">
        <f t="shared" si="2"/>
        <v>Verre</v>
      </c>
      <c r="BH4" s="289" t="str">
        <f t="shared" si="2"/>
        <v>Métaux</v>
      </c>
      <c r="BI4" s="289" t="str">
        <f t="shared" si="2"/>
        <v>Incombustibles</v>
      </c>
      <c r="BJ4" s="289" t="str">
        <f t="shared" si="2"/>
        <v>Déchets spéciaux</v>
      </c>
      <c r="BK4" s="289" t="str">
        <f t="shared" si="2"/>
        <v>Fermentescibles</v>
      </c>
      <c r="BL4" s="289" t="str">
        <f t="shared" si="2"/>
        <v>Ligneux</v>
      </c>
      <c r="BM4" s="289" t="str">
        <f t="shared" si="2"/>
        <v>Non ligneux</v>
      </c>
      <c r="BN4" s="289" t="str">
        <f t="shared" si="2"/>
        <v>Papiers</v>
      </c>
      <c r="BO4" s="289" t="str">
        <f t="shared" si="2"/>
        <v>Cartons</v>
      </c>
      <c r="BP4" s="289" t="str">
        <f>AY4</f>
        <v>Textiles sanitaires</v>
      </c>
      <c r="BQ4" s="289" t="str">
        <f>AZ4</f>
        <v>Fines</v>
      </c>
    </row>
    <row r="5" spans="1:71" ht="24.95" customHeight="1" x14ac:dyDescent="0.25">
      <c r="A5" s="279" t="s">
        <v>160</v>
      </c>
      <c r="B5" s="280" t="s">
        <v>161</v>
      </c>
      <c r="C5" s="329" t="s">
        <v>162</v>
      </c>
      <c r="D5" s="330">
        <v>89</v>
      </c>
      <c r="E5" s="330">
        <v>94.1</v>
      </c>
      <c r="F5" s="330">
        <v>92.1</v>
      </c>
      <c r="G5" s="330">
        <v>90</v>
      </c>
      <c r="H5" s="330">
        <v>0.1</v>
      </c>
      <c r="I5" s="330">
        <v>4</v>
      </c>
      <c r="J5" s="330">
        <v>0.9</v>
      </c>
      <c r="K5" s="322">
        <v>86.5</v>
      </c>
      <c r="L5" s="330">
        <v>88</v>
      </c>
      <c r="M5" s="330">
        <v>77.2</v>
      </c>
      <c r="N5" s="330">
        <v>80.099999999999994</v>
      </c>
      <c r="O5" s="330">
        <v>72.900000000000006</v>
      </c>
      <c r="P5" s="330">
        <v>83.6</v>
      </c>
      <c r="Q5" s="330">
        <v>89.7</v>
      </c>
      <c r="R5" s="330">
        <v>62.3</v>
      </c>
      <c r="T5" s="289" t="s">
        <v>160</v>
      </c>
      <c r="U5" s="328">
        <v>85.9</v>
      </c>
      <c r="V5" s="328">
        <v>96.5</v>
      </c>
      <c r="W5" s="328">
        <v>94.6</v>
      </c>
      <c r="X5" s="328">
        <v>82.6</v>
      </c>
      <c r="Y5" s="328">
        <v>1.2</v>
      </c>
      <c r="Z5" s="328">
        <v>12.4</v>
      </c>
      <c r="AA5" s="328">
        <v>10.7</v>
      </c>
      <c r="AC5" s="328">
        <v>87</v>
      </c>
      <c r="AD5" s="328">
        <v>87</v>
      </c>
      <c r="AE5" s="328">
        <v>87</v>
      </c>
      <c r="AF5" s="328">
        <v>76.5</v>
      </c>
      <c r="AG5" s="328">
        <v>84.2</v>
      </c>
      <c r="AH5" s="328">
        <v>89.6</v>
      </c>
      <c r="AI5" s="328">
        <v>48.8</v>
      </c>
      <c r="AK5" s="289" t="s">
        <v>160</v>
      </c>
      <c r="AL5" s="328">
        <f>U5+((20/100)*U5)</f>
        <v>103.08000000000001</v>
      </c>
      <c r="AM5" s="328">
        <f t="shared" ref="AM5:AZ5" si="3">V5+((20/100)*V5)</f>
        <v>115.8</v>
      </c>
      <c r="AN5" s="328">
        <f t="shared" si="3"/>
        <v>113.52</v>
      </c>
      <c r="AO5" s="328">
        <f t="shared" si="3"/>
        <v>99.11999999999999</v>
      </c>
      <c r="AP5" s="328">
        <f t="shared" si="3"/>
        <v>1.44</v>
      </c>
      <c r="AQ5" s="328">
        <f t="shared" si="3"/>
        <v>14.88</v>
      </c>
      <c r="AR5" s="328">
        <f t="shared" si="3"/>
        <v>12.84</v>
      </c>
      <c r="AS5" s="328"/>
      <c r="AT5" s="328">
        <f t="shared" si="3"/>
        <v>104.4</v>
      </c>
      <c r="AU5" s="328">
        <f t="shared" si="3"/>
        <v>104.4</v>
      </c>
      <c r="AV5" s="328">
        <f t="shared" si="3"/>
        <v>104.4</v>
      </c>
      <c r="AW5" s="328">
        <f t="shared" si="3"/>
        <v>91.8</v>
      </c>
      <c r="AX5" s="328">
        <f t="shared" si="3"/>
        <v>101.04</v>
      </c>
      <c r="AY5" s="328">
        <f t="shared" si="3"/>
        <v>107.52</v>
      </c>
      <c r="AZ5" s="328">
        <f t="shared" si="3"/>
        <v>58.559999999999995</v>
      </c>
      <c r="BA5" s="328"/>
      <c r="BB5" s="289" t="s">
        <v>160</v>
      </c>
      <c r="BC5" s="331">
        <f>U5-((20/100)*U5)</f>
        <v>68.72</v>
      </c>
      <c r="BD5" s="331">
        <f t="shared" ref="BD5:BQ5" si="4">V5-((20/100)*V5)</f>
        <v>77.2</v>
      </c>
      <c r="BE5" s="331">
        <f t="shared" si="4"/>
        <v>75.679999999999993</v>
      </c>
      <c r="BF5" s="331">
        <f t="shared" si="4"/>
        <v>66.08</v>
      </c>
      <c r="BG5" s="331">
        <f t="shared" si="4"/>
        <v>0.96</v>
      </c>
      <c r="BH5" s="331">
        <f t="shared" si="4"/>
        <v>9.92</v>
      </c>
      <c r="BI5" s="331">
        <f t="shared" si="4"/>
        <v>8.5599999999999987</v>
      </c>
      <c r="BJ5" s="331">
        <f t="shared" si="4"/>
        <v>0</v>
      </c>
      <c r="BK5" s="331">
        <f t="shared" si="4"/>
        <v>69.599999999999994</v>
      </c>
      <c r="BL5" s="331">
        <f t="shared" si="4"/>
        <v>69.599999999999994</v>
      </c>
      <c r="BM5" s="331">
        <f t="shared" si="4"/>
        <v>69.599999999999994</v>
      </c>
      <c r="BN5" s="331">
        <f t="shared" si="4"/>
        <v>61.2</v>
      </c>
      <c r="BO5" s="331">
        <f t="shared" si="4"/>
        <v>67.36</v>
      </c>
      <c r="BP5" s="331">
        <f t="shared" si="4"/>
        <v>71.679999999999993</v>
      </c>
      <c r="BQ5" s="331">
        <f t="shared" si="4"/>
        <v>39.04</v>
      </c>
      <c r="BS5" s="288" t="s">
        <v>211</v>
      </c>
    </row>
    <row r="6" spans="1:71" ht="24.95" customHeight="1" x14ac:dyDescent="0.25">
      <c r="A6" s="279" t="s">
        <v>163</v>
      </c>
      <c r="B6" s="280" t="s">
        <v>164</v>
      </c>
      <c r="C6" s="329" t="s">
        <v>162</v>
      </c>
      <c r="D6" s="332">
        <v>0.21</v>
      </c>
      <c r="E6" s="332">
        <v>1.1000000000000001</v>
      </c>
      <c r="F6" s="332">
        <v>0.41</v>
      </c>
      <c r="G6" s="332">
        <v>1.48</v>
      </c>
      <c r="H6" s="332" t="s">
        <v>210</v>
      </c>
      <c r="I6" s="332" t="s">
        <v>210</v>
      </c>
      <c r="J6" s="332">
        <v>0.1</v>
      </c>
      <c r="K6" s="332">
        <v>0.6</v>
      </c>
      <c r="L6" s="332">
        <v>2.89</v>
      </c>
      <c r="M6" s="332">
        <v>1.45</v>
      </c>
      <c r="N6" s="332">
        <v>1.37</v>
      </c>
      <c r="O6" s="332">
        <v>0.4</v>
      </c>
      <c r="P6" s="332">
        <v>0.47</v>
      </c>
      <c r="Q6" s="332">
        <v>1.1499999999999999</v>
      </c>
      <c r="R6" s="332">
        <v>2.0699999999999998</v>
      </c>
      <c r="T6" s="289" t="s">
        <v>163</v>
      </c>
      <c r="AK6" s="289" t="s">
        <v>163</v>
      </c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B6" s="289" t="s">
        <v>163</v>
      </c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S6" s="288" t="s">
        <v>238</v>
      </c>
    </row>
    <row r="7" spans="1:71" ht="24.95" customHeight="1" x14ac:dyDescent="0.25">
      <c r="A7" s="279" t="s">
        <v>165</v>
      </c>
      <c r="B7" s="280" t="s">
        <v>166</v>
      </c>
      <c r="C7" s="329" t="s">
        <v>167</v>
      </c>
      <c r="D7" s="333">
        <v>191.1</v>
      </c>
      <c r="E7" s="333">
        <v>703.3</v>
      </c>
      <c r="F7" s="333">
        <v>466.1</v>
      </c>
      <c r="G7" s="333">
        <v>339.9</v>
      </c>
      <c r="H7" s="333">
        <v>3.3</v>
      </c>
      <c r="I7" s="333">
        <v>136.5</v>
      </c>
      <c r="J7" s="333">
        <v>316.3</v>
      </c>
      <c r="K7" s="333">
        <v>300.89999999999998</v>
      </c>
      <c r="L7" s="333">
        <v>7002</v>
      </c>
      <c r="M7" s="333">
        <v>2315.9</v>
      </c>
      <c r="N7" s="333">
        <v>1720.4</v>
      </c>
      <c r="O7" s="333">
        <v>402.2</v>
      </c>
      <c r="P7" s="333">
        <v>670.7</v>
      </c>
      <c r="Q7" s="333">
        <v>1444.9</v>
      </c>
      <c r="R7" s="333">
        <v>2776.5</v>
      </c>
      <c r="T7" s="289" t="s">
        <v>165</v>
      </c>
      <c r="AK7" s="289" t="s">
        <v>165</v>
      </c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B7" s="289" t="s">
        <v>165</v>
      </c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</row>
    <row r="8" spans="1:71" ht="24.95" customHeight="1" x14ac:dyDescent="0.25">
      <c r="A8" s="279" t="s">
        <v>168</v>
      </c>
      <c r="B8" s="280" t="s">
        <v>166</v>
      </c>
      <c r="C8" s="329" t="s">
        <v>167</v>
      </c>
      <c r="D8" s="333">
        <v>856</v>
      </c>
      <c r="E8" s="333">
        <v>1449</v>
      </c>
      <c r="F8" s="333">
        <v>1183.3</v>
      </c>
      <c r="G8" s="333">
        <v>1994.7</v>
      </c>
      <c r="H8" s="333">
        <v>91.4</v>
      </c>
      <c r="I8" s="333">
        <v>385.5</v>
      </c>
      <c r="J8" s="333">
        <v>2083.6</v>
      </c>
      <c r="K8" s="333">
        <v>1458.4</v>
      </c>
      <c r="L8" s="333">
        <v>7063.1</v>
      </c>
      <c r="M8" s="333">
        <v>12463.4</v>
      </c>
      <c r="N8" s="333">
        <v>6437.5</v>
      </c>
      <c r="O8" s="333">
        <v>1827.5</v>
      </c>
      <c r="P8" s="333">
        <v>1946.7</v>
      </c>
      <c r="Q8" s="333">
        <v>5416</v>
      </c>
      <c r="R8" s="333">
        <v>6267.5</v>
      </c>
      <c r="T8" s="289" t="s">
        <v>168</v>
      </c>
      <c r="AK8" s="289" t="s">
        <v>168</v>
      </c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B8" s="289" t="s">
        <v>168</v>
      </c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8"/>
      <c r="BO8" s="328"/>
      <c r="BP8" s="328"/>
      <c r="BQ8" s="328"/>
    </row>
    <row r="9" spans="1:71" ht="24.95" customHeight="1" x14ac:dyDescent="0.25">
      <c r="A9" s="279" t="s">
        <v>169</v>
      </c>
      <c r="B9" s="280" t="s">
        <v>170</v>
      </c>
      <c r="C9" s="329" t="s">
        <v>162</v>
      </c>
      <c r="D9" s="309">
        <v>50.4</v>
      </c>
      <c r="E9" s="309">
        <v>46.8</v>
      </c>
      <c r="F9" s="309">
        <v>57.5</v>
      </c>
      <c r="G9" s="309">
        <v>45.3</v>
      </c>
      <c r="H9" s="309">
        <v>0.1</v>
      </c>
      <c r="I9" s="309">
        <v>2.4</v>
      </c>
      <c r="J9" s="309">
        <v>0.5</v>
      </c>
      <c r="K9" s="309">
        <v>52.4</v>
      </c>
      <c r="L9" s="309">
        <v>40.299999999999997</v>
      </c>
      <c r="M9" s="322">
        <v>36.9</v>
      </c>
      <c r="N9" s="309">
        <v>39.200000000000003</v>
      </c>
      <c r="O9" s="309">
        <v>34.799999999999997</v>
      </c>
      <c r="P9" s="309">
        <v>40.200000000000003</v>
      </c>
      <c r="Q9" s="309">
        <v>48.6</v>
      </c>
      <c r="R9" s="309">
        <v>26.7</v>
      </c>
      <c r="T9" s="289" t="s">
        <v>239</v>
      </c>
      <c r="U9" s="328">
        <v>36.299999999999997</v>
      </c>
      <c r="V9" s="328">
        <v>52.8</v>
      </c>
      <c r="W9" s="328">
        <v>75.599999999999994</v>
      </c>
      <c r="X9" s="328">
        <v>41</v>
      </c>
      <c r="Y9" s="328">
        <v>1.18</v>
      </c>
      <c r="Z9" s="328">
        <v>1.24</v>
      </c>
      <c r="AA9" s="328">
        <v>4</v>
      </c>
      <c r="AC9" s="328">
        <v>40.9</v>
      </c>
      <c r="AD9" s="328">
        <v>40.9</v>
      </c>
      <c r="AE9" s="328">
        <v>40.9</v>
      </c>
      <c r="AF9" s="328">
        <v>34.200000000000003</v>
      </c>
      <c r="AG9" s="328">
        <v>37.5</v>
      </c>
      <c r="AH9" s="328">
        <v>44.3</v>
      </c>
      <c r="AI9" s="328">
        <v>21.1</v>
      </c>
      <c r="AK9" s="289" t="s">
        <v>239</v>
      </c>
      <c r="AL9" s="328">
        <f t="shared" ref="AL9:AR11" si="5">U9+((20/100)*U9)</f>
        <v>43.559999999999995</v>
      </c>
      <c r="AM9" s="328">
        <f t="shared" si="5"/>
        <v>63.36</v>
      </c>
      <c r="AN9" s="328">
        <f t="shared" si="5"/>
        <v>90.72</v>
      </c>
      <c r="AO9" s="328">
        <f t="shared" si="5"/>
        <v>49.2</v>
      </c>
      <c r="AP9" s="328">
        <f t="shared" si="5"/>
        <v>1.4159999999999999</v>
      </c>
      <c r="AQ9" s="328">
        <f t="shared" si="5"/>
        <v>1.488</v>
      </c>
      <c r="AR9" s="328">
        <f t="shared" si="5"/>
        <v>4.8</v>
      </c>
      <c r="AS9" s="328"/>
      <c r="AT9" s="328">
        <f t="shared" ref="AT9:AZ11" si="6">AC9+((20/100)*AC9)</f>
        <v>49.08</v>
      </c>
      <c r="AU9" s="328">
        <f t="shared" si="6"/>
        <v>49.08</v>
      </c>
      <c r="AV9" s="328">
        <f t="shared" si="6"/>
        <v>49.08</v>
      </c>
      <c r="AW9" s="328">
        <f t="shared" si="6"/>
        <v>41.040000000000006</v>
      </c>
      <c r="AX9" s="328">
        <f t="shared" si="6"/>
        <v>45</v>
      </c>
      <c r="AY9" s="328">
        <f t="shared" si="6"/>
        <v>53.16</v>
      </c>
      <c r="AZ9" s="328">
        <f t="shared" si="6"/>
        <v>25.32</v>
      </c>
      <c r="BB9" s="289" t="s">
        <v>239</v>
      </c>
      <c r="BC9" s="331">
        <f t="shared" ref="BC9:BQ11" si="7">U9-((20/100)*U9)</f>
        <v>29.04</v>
      </c>
      <c r="BD9" s="331">
        <f t="shared" si="7"/>
        <v>42.239999999999995</v>
      </c>
      <c r="BE9" s="331">
        <f t="shared" si="7"/>
        <v>60.48</v>
      </c>
      <c r="BF9" s="331">
        <f t="shared" si="7"/>
        <v>32.799999999999997</v>
      </c>
      <c r="BG9" s="331">
        <f t="shared" si="7"/>
        <v>0.94399999999999995</v>
      </c>
      <c r="BH9" s="331">
        <f t="shared" si="7"/>
        <v>0.99199999999999999</v>
      </c>
      <c r="BI9" s="331">
        <f t="shared" si="7"/>
        <v>3.2</v>
      </c>
      <c r="BJ9" s="331">
        <f t="shared" si="7"/>
        <v>0</v>
      </c>
      <c r="BK9" s="331">
        <f t="shared" si="7"/>
        <v>32.72</v>
      </c>
      <c r="BL9" s="331">
        <f t="shared" si="7"/>
        <v>32.72</v>
      </c>
      <c r="BM9" s="331">
        <f t="shared" si="7"/>
        <v>32.72</v>
      </c>
      <c r="BN9" s="331">
        <f t="shared" si="7"/>
        <v>27.360000000000003</v>
      </c>
      <c r="BO9" s="331">
        <f t="shared" si="7"/>
        <v>30</v>
      </c>
      <c r="BP9" s="331">
        <f t="shared" si="7"/>
        <v>35.44</v>
      </c>
      <c r="BQ9" s="331">
        <f t="shared" si="7"/>
        <v>16.880000000000003</v>
      </c>
    </row>
    <row r="10" spans="1:71" ht="24.95" customHeight="1" x14ac:dyDescent="0.25">
      <c r="A10" s="279" t="s">
        <v>171</v>
      </c>
      <c r="B10" s="280"/>
      <c r="C10" s="329" t="s">
        <v>162</v>
      </c>
      <c r="D10" s="322">
        <v>0.2</v>
      </c>
      <c r="E10" s="322">
        <v>1.1000000000000001</v>
      </c>
      <c r="F10" s="310">
        <v>0.4</v>
      </c>
      <c r="G10" s="322">
        <v>1.5</v>
      </c>
      <c r="H10" s="322">
        <v>0.1</v>
      </c>
      <c r="I10" s="322">
        <v>0.1</v>
      </c>
      <c r="J10" s="309">
        <v>0.1</v>
      </c>
      <c r="K10" s="322">
        <v>0.6</v>
      </c>
      <c r="L10" s="309">
        <v>2.7</v>
      </c>
      <c r="M10" s="322">
        <v>1.4</v>
      </c>
      <c r="N10" s="322">
        <v>1.4</v>
      </c>
      <c r="O10" s="322">
        <v>0.4</v>
      </c>
      <c r="P10" s="322">
        <v>0.4</v>
      </c>
      <c r="Q10" s="322">
        <v>1</v>
      </c>
      <c r="R10" s="322">
        <v>2</v>
      </c>
      <c r="T10" s="289" t="s">
        <v>171</v>
      </c>
      <c r="U10" s="328">
        <v>0.08</v>
      </c>
      <c r="V10" s="328">
        <v>0.71</v>
      </c>
      <c r="W10" s="328">
        <v>0.03</v>
      </c>
      <c r="X10" s="328">
        <v>1.98</v>
      </c>
      <c r="AA10" s="328">
        <v>0.51</v>
      </c>
      <c r="AC10" s="328">
        <v>2</v>
      </c>
      <c r="AD10" s="328">
        <v>2</v>
      </c>
      <c r="AE10" s="328">
        <v>2</v>
      </c>
      <c r="AF10" s="328">
        <v>0.11</v>
      </c>
      <c r="AG10" s="328">
        <v>0.19</v>
      </c>
      <c r="AH10" s="328">
        <v>0.76</v>
      </c>
      <c r="AI10" s="328">
        <v>1.4</v>
      </c>
      <c r="AK10" s="289" t="s">
        <v>171</v>
      </c>
      <c r="AL10" s="328">
        <f t="shared" si="5"/>
        <v>9.6000000000000002E-2</v>
      </c>
      <c r="AM10" s="328">
        <f t="shared" si="5"/>
        <v>0.85199999999999998</v>
      </c>
      <c r="AN10" s="328">
        <f t="shared" si="5"/>
        <v>3.5999999999999997E-2</v>
      </c>
      <c r="AO10" s="328">
        <f t="shared" si="5"/>
        <v>2.3759999999999999</v>
      </c>
      <c r="AP10" s="328">
        <f t="shared" si="5"/>
        <v>0</v>
      </c>
      <c r="AQ10" s="328">
        <f t="shared" si="5"/>
        <v>0</v>
      </c>
      <c r="AR10" s="328">
        <f t="shared" si="5"/>
        <v>0.61199999999999999</v>
      </c>
      <c r="AS10" s="328"/>
      <c r="AT10" s="328">
        <f t="shared" si="6"/>
        <v>2.4</v>
      </c>
      <c r="AU10" s="328">
        <f t="shared" si="6"/>
        <v>2.4</v>
      </c>
      <c r="AV10" s="328">
        <f t="shared" si="6"/>
        <v>2.4</v>
      </c>
      <c r="AW10" s="328">
        <f t="shared" si="6"/>
        <v>0.13200000000000001</v>
      </c>
      <c r="AX10" s="328">
        <f t="shared" si="6"/>
        <v>0.22800000000000001</v>
      </c>
      <c r="AY10" s="328">
        <f t="shared" si="6"/>
        <v>0.91200000000000003</v>
      </c>
      <c r="AZ10" s="328">
        <f t="shared" si="6"/>
        <v>1.68</v>
      </c>
      <c r="BB10" s="289" t="s">
        <v>171</v>
      </c>
      <c r="BC10" s="331">
        <f t="shared" si="7"/>
        <v>6.4000000000000001E-2</v>
      </c>
      <c r="BD10" s="331">
        <f t="shared" si="7"/>
        <v>0.56799999999999995</v>
      </c>
      <c r="BE10" s="331">
        <f t="shared" si="7"/>
        <v>2.4E-2</v>
      </c>
      <c r="BF10" s="331">
        <f t="shared" si="7"/>
        <v>1.5840000000000001</v>
      </c>
      <c r="BG10" s="331">
        <f t="shared" si="7"/>
        <v>0</v>
      </c>
      <c r="BH10" s="331">
        <f t="shared" si="7"/>
        <v>0</v>
      </c>
      <c r="BI10" s="331">
        <f t="shared" si="7"/>
        <v>0.40800000000000003</v>
      </c>
      <c r="BJ10" s="331">
        <f t="shared" si="7"/>
        <v>0</v>
      </c>
      <c r="BK10" s="331">
        <f t="shared" si="7"/>
        <v>1.6</v>
      </c>
      <c r="BL10" s="331">
        <f t="shared" si="7"/>
        <v>1.6</v>
      </c>
      <c r="BM10" s="331">
        <f t="shared" si="7"/>
        <v>1.6</v>
      </c>
      <c r="BN10" s="331">
        <f t="shared" si="7"/>
        <v>8.7999999999999995E-2</v>
      </c>
      <c r="BO10" s="331">
        <f t="shared" si="7"/>
        <v>0.152</v>
      </c>
      <c r="BP10" s="331">
        <f t="shared" si="7"/>
        <v>0.60799999999999998</v>
      </c>
      <c r="BQ10" s="331">
        <f t="shared" si="7"/>
        <v>1.1199999999999999</v>
      </c>
    </row>
    <row r="11" spans="1:71" ht="30" x14ac:dyDescent="0.25">
      <c r="A11" s="279" t="s">
        <v>173</v>
      </c>
      <c r="B11" s="280" t="s">
        <v>172</v>
      </c>
      <c r="C11" s="334" t="s">
        <v>174</v>
      </c>
      <c r="D11" s="335">
        <v>251.99999999999997</v>
      </c>
      <c r="E11" s="335">
        <v>42.54545454545454</v>
      </c>
      <c r="F11" s="335">
        <v>143.75</v>
      </c>
      <c r="G11" s="335">
        <v>30.2</v>
      </c>
      <c r="H11" s="335">
        <v>1</v>
      </c>
      <c r="I11" s="335">
        <v>23.999999999999996</v>
      </c>
      <c r="J11" s="335">
        <v>5</v>
      </c>
      <c r="K11" s="335">
        <v>87.333333333333329</v>
      </c>
      <c r="L11" s="335">
        <v>14.925925925925924</v>
      </c>
      <c r="M11" s="335">
        <v>26.357142857142858</v>
      </c>
      <c r="N11" s="335">
        <v>28.000000000000004</v>
      </c>
      <c r="O11" s="335">
        <v>86.999999999999986</v>
      </c>
      <c r="P11" s="335">
        <v>100.5</v>
      </c>
      <c r="Q11" s="335">
        <v>48.6</v>
      </c>
      <c r="R11" s="335">
        <v>13.35</v>
      </c>
      <c r="T11" s="289" t="s">
        <v>240</v>
      </c>
      <c r="U11" s="328">
        <v>453.8</v>
      </c>
      <c r="V11" s="328">
        <v>74.400000000000006</v>
      </c>
      <c r="W11" s="328">
        <v>2520</v>
      </c>
      <c r="X11" s="328">
        <v>20.7</v>
      </c>
      <c r="AA11" s="328">
        <v>7.8</v>
      </c>
      <c r="AC11" s="328">
        <v>20.5</v>
      </c>
      <c r="AD11" s="328">
        <v>20.5</v>
      </c>
      <c r="AE11" s="328">
        <v>20.5</v>
      </c>
      <c r="AF11" s="328">
        <v>310.89999999999998</v>
      </c>
      <c r="AG11" s="328">
        <v>197.4</v>
      </c>
      <c r="AH11" s="328">
        <v>58.3</v>
      </c>
      <c r="AI11" s="328">
        <v>15.1</v>
      </c>
      <c r="AK11" s="289" t="s">
        <v>240</v>
      </c>
      <c r="AL11" s="328">
        <f t="shared" si="5"/>
        <v>544.56000000000006</v>
      </c>
      <c r="AM11" s="328">
        <f t="shared" si="5"/>
        <v>89.28</v>
      </c>
      <c r="AN11" s="328">
        <f t="shared" si="5"/>
        <v>3024</v>
      </c>
      <c r="AO11" s="328">
        <f t="shared" si="5"/>
        <v>24.84</v>
      </c>
      <c r="AP11" s="328">
        <f t="shared" si="5"/>
        <v>0</v>
      </c>
      <c r="AQ11" s="328">
        <f t="shared" si="5"/>
        <v>0</v>
      </c>
      <c r="AR11" s="328">
        <f t="shared" si="5"/>
        <v>9.36</v>
      </c>
      <c r="AS11" s="328"/>
      <c r="AT11" s="328">
        <f t="shared" si="6"/>
        <v>24.6</v>
      </c>
      <c r="AU11" s="328">
        <f t="shared" si="6"/>
        <v>24.6</v>
      </c>
      <c r="AV11" s="328">
        <f t="shared" si="6"/>
        <v>24.6</v>
      </c>
      <c r="AW11" s="328">
        <f t="shared" si="6"/>
        <v>373.08</v>
      </c>
      <c r="AX11" s="328">
        <f t="shared" si="6"/>
        <v>236.88</v>
      </c>
      <c r="AY11" s="328">
        <f t="shared" si="6"/>
        <v>69.959999999999994</v>
      </c>
      <c r="AZ11" s="328">
        <f t="shared" si="6"/>
        <v>18.12</v>
      </c>
      <c r="BB11" s="289" t="s">
        <v>240</v>
      </c>
      <c r="BC11" s="331">
        <f t="shared" si="7"/>
        <v>363.04</v>
      </c>
      <c r="BD11" s="331">
        <f t="shared" si="7"/>
        <v>59.52</v>
      </c>
      <c r="BE11" s="331">
        <f t="shared" si="7"/>
        <v>2016</v>
      </c>
      <c r="BF11" s="331">
        <f t="shared" si="7"/>
        <v>16.559999999999999</v>
      </c>
      <c r="BG11" s="331">
        <f t="shared" si="7"/>
        <v>0</v>
      </c>
      <c r="BH11" s="331">
        <f t="shared" si="7"/>
        <v>0</v>
      </c>
      <c r="BI11" s="331">
        <f t="shared" si="7"/>
        <v>6.24</v>
      </c>
      <c r="BJ11" s="331">
        <f t="shared" si="7"/>
        <v>0</v>
      </c>
      <c r="BK11" s="331">
        <f t="shared" si="7"/>
        <v>16.399999999999999</v>
      </c>
      <c r="BL11" s="331">
        <f t="shared" si="7"/>
        <v>16.399999999999999</v>
      </c>
      <c r="BM11" s="331">
        <f t="shared" si="7"/>
        <v>16.399999999999999</v>
      </c>
      <c r="BN11" s="331">
        <f t="shared" si="7"/>
        <v>248.71999999999997</v>
      </c>
      <c r="BO11" s="331">
        <f t="shared" si="7"/>
        <v>157.92000000000002</v>
      </c>
      <c r="BP11" s="331">
        <f t="shared" si="7"/>
        <v>46.64</v>
      </c>
      <c r="BQ11" s="331">
        <f t="shared" si="7"/>
        <v>12.08</v>
      </c>
    </row>
    <row r="12" spans="1:71" ht="24.95" customHeight="1" x14ac:dyDescent="0.25">
      <c r="A12" s="279" t="s">
        <v>175</v>
      </c>
      <c r="B12" s="576" t="s">
        <v>176</v>
      </c>
      <c r="C12" s="329" t="s">
        <v>167</v>
      </c>
      <c r="D12" s="313">
        <v>795</v>
      </c>
      <c r="E12" s="313">
        <v>1034</v>
      </c>
      <c r="F12" s="313">
        <v>1239</v>
      </c>
      <c r="G12" s="313">
        <v>1138</v>
      </c>
      <c r="H12" s="313">
        <v>348</v>
      </c>
      <c r="I12" s="313">
        <v>187</v>
      </c>
      <c r="J12" s="313">
        <v>196</v>
      </c>
      <c r="K12" s="313">
        <v>1097</v>
      </c>
      <c r="L12" s="313">
        <v>2528</v>
      </c>
      <c r="M12" s="313">
        <v>4070</v>
      </c>
      <c r="N12" s="313">
        <v>4321</v>
      </c>
      <c r="O12" s="313">
        <v>529</v>
      </c>
      <c r="P12" s="313">
        <v>1029</v>
      </c>
      <c r="Q12" s="313">
        <v>1327</v>
      </c>
      <c r="R12" s="313">
        <v>7147</v>
      </c>
      <c r="T12" s="289" t="s">
        <v>175</v>
      </c>
      <c r="U12" s="328">
        <v>900</v>
      </c>
      <c r="V12" s="336">
        <v>1300</v>
      </c>
      <c r="W12" s="336">
        <v>1000</v>
      </c>
      <c r="X12" s="336">
        <v>5500</v>
      </c>
      <c r="AA12" s="336">
        <v>3500</v>
      </c>
      <c r="AC12" s="328">
        <v>3700</v>
      </c>
      <c r="AD12" s="328">
        <v>3700</v>
      </c>
      <c r="AE12" s="328">
        <v>3700</v>
      </c>
      <c r="AF12" s="328">
        <v>800</v>
      </c>
      <c r="AG12" s="328">
        <v>900</v>
      </c>
      <c r="AH12" s="328">
        <v>700</v>
      </c>
      <c r="AI12" s="336">
        <v>2800</v>
      </c>
      <c r="AK12" s="289" t="s">
        <v>175</v>
      </c>
      <c r="AL12" s="328">
        <f t="shared" ref="AL12:AZ23" si="8">U12*2</f>
        <v>1800</v>
      </c>
      <c r="AM12" s="328">
        <f t="shared" si="8"/>
        <v>2600</v>
      </c>
      <c r="AN12" s="328">
        <f t="shared" si="8"/>
        <v>2000</v>
      </c>
      <c r="AO12" s="328">
        <f t="shared" si="8"/>
        <v>11000</v>
      </c>
      <c r="AP12" s="328">
        <f t="shared" si="8"/>
        <v>0</v>
      </c>
      <c r="AQ12" s="328">
        <f t="shared" si="8"/>
        <v>0</v>
      </c>
      <c r="AR12" s="328">
        <f t="shared" si="8"/>
        <v>7000</v>
      </c>
      <c r="AS12" s="328">
        <f t="shared" si="8"/>
        <v>0</v>
      </c>
      <c r="AT12" s="328">
        <f t="shared" si="8"/>
        <v>7400</v>
      </c>
      <c r="AU12" s="328">
        <f t="shared" si="8"/>
        <v>7400</v>
      </c>
      <c r="AV12" s="328">
        <f t="shared" si="8"/>
        <v>7400</v>
      </c>
      <c r="AW12" s="328">
        <f t="shared" si="8"/>
        <v>1600</v>
      </c>
      <c r="AX12" s="328">
        <f t="shared" si="8"/>
        <v>1800</v>
      </c>
      <c r="AY12" s="328">
        <f t="shared" si="8"/>
        <v>1400</v>
      </c>
      <c r="AZ12" s="328">
        <f t="shared" si="8"/>
        <v>5600</v>
      </c>
      <c r="BB12" s="289" t="s">
        <v>175</v>
      </c>
      <c r="BC12" s="328">
        <f>U12/2</f>
        <v>450</v>
      </c>
      <c r="BD12" s="328">
        <f t="shared" ref="BD12:BQ23" si="9">V12-((50/100)*V12)</f>
        <v>650</v>
      </c>
      <c r="BE12" s="328">
        <f t="shared" si="9"/>
        <v>500</v>
      </c>
      <c r="BF12" s="328">
        <f t="shared" si="9"/>
        <v>2750</v>
      </c>
      <c r="BG12" s="328">
        <f t="shared" si="9"/>
        <v>0</v>
      </c>
      <c r="BH12" s="328">
        <f t="shared" si="9"/>
        <v>0</v>
      </c>
      <c r="BI12" s="328">
        <f t="shared" si="9"/>
        <v>1750</v>
      </c>
      <c r="BJ12" s="328">
        <f t="shared" si="9"/>
        <v>0</v>
      </c>
      <c r="BK12" s="328">
        <f t="shared" si="9"/>
        <v>1850</v>
      </c>
      <c r="BL12" s="328">
        <f t="shared" si="9"/>
        <v>1850</v>
      </c>
      <c r="BM12" s="328">
        <f t="shared" si="9"/>
        <v>1850</v>
      </c>
      <c r="BN12" s="328">
        <f t="shared" si="9"/>
        <v>400</v>
      </c>
      <c r="BO12" s="328">
        <f t="shared" si="9"/>
        <v>450</v>
      </c>
      <c r="BP12" s="328">
        <f t="shared" si="9"/>
        <v>350</v>
      </c>
      <c r="BQ12" s="328">
        <f t="shared" si="9"/>
        <v>1400</v>
      </c>
    </row>
    <row r="13" spans="1:71" ht="24.75" customHeight="1" x14ac:dyDescent="0.25">
      <c r="A13" s="279" t="s">
        <v>177</v>
      </c>
      <c r="B13" s="577"/>
      <c r="C13" s="329" t="s">
        <v>167</v>
      </c>
      <c r="D13" s="313">
        <v>2429</v>
      </c>
      <c r="E13" s="313">
        <v>5855</v>
      </c>
      <c r="F13" s="313">
        <v>21345</v>
      </c>
      <c r="G13" s="313">
        <v>9529</v>
      </c>
      <c r="H13" s="313">
        <v>167</v>
      </c>
      <c r="I13" s="313">
        <v>51</v>
      </c>
      <c r="J13" s="313">
        <v>134</v>
      </c>
      <c r="K13" s="313">
        <v>3410</v>
      </c>
      <c r="L13" s="313">
        <v>8180</v>
      </c>
      <c r="M13" s="313">
        <v>7255</v>
      </c>
      <c r="N13" s="313">
        <v>2960</v>
      </c>
      <c r="O13" s="313">
        <v>1974</v>
      </c>
      <c r="P13" s="313">
        <v>2996</v>
      </c>
      <c r="Q13" s="313">
        <v>4523</v>
      </c>
      <c r="R13" s="313">
        <v>4468</v>
      </c>
      <c r="T13" s="289" t="s">
        <v>177</v>
      </c>
      <c r="U13" s="336">
        <v>2706</v>
      </c>
      <c r="V13" s="336">
        <v>1515</v>
      </c>
      <c r="W13" s="336">
        <v>1970</v>
      </c>
      <c r="X13" s="336">
        <v>6676</v>
      </c>
      <c r="AA13" s="336">
        <v>1533</v>
      </c>
      <c r="AC13" s="328">
        <v>5858</v>
      </c>
      <c r="AD13" s="328">
        <v>5858</v>
      </c>
      <c r="AE13" s="328">
        <v>5858</v>
      </c>
      <c r="AF13" s="328">
        <v>1908</v>
      </c>
      <c r="AG13" s="336">
        <v>1725</v>
      </c>
      <c r="AH13" s="336">
        <v>4466</v>
      </c>
      <c r="AI13" s="336">
        <v>4093</v>
      </c>
      <c r="AK13" s="289" t="s">
        <v>177</v>
      </c>
      <c r="AL13" s="328">
        <f t="shared" si="8"/>
        <v>5412</v>
      </c>
      <c r="AM13" s="328">
        <f t="shared" si="8"/>
        <v>3030</v>
      </c>
      <c r="AN13" s="328">
        <f t="shared" si="8"/>
        <v>3940</v>
      </c>
      <c r="AO13" s="328">
        <f t="shared" si="8"/>
        <v>13352</v>
      </c>
      <c r="AP13" s="328">
        <f t="shared" si="8"/>
        <v>0</v>
      </c>
      <c r="AQ13" s="328">
        <f t="shared" si="8"/>
        <v>0</v>
      </c>
      <c r="AR13" s="328">
        <f t="shared" si="8"/>
        <v>3066</v>
      </c>
      <c r="AS13" s="328">
        <f t="shared" si="8"/>
        <v>0</v>
      </c>
      <c r="AT13" s="328">
        <f t="shared" si="8"/>
        <v>11716</v>
      </c>
      <c r="AU13" s="328">
        <f t="shared" si="8"/>
        <v>11716</v>
      </c>
      <c r="AV13" s="328">
        <f t="shared" si="8"/>
        <v>11716</v>
      </c>
      <c r="AW13" s="328">
        <f t="shared" si="8"/>
        <v>3816</v>
      </c>
      <c r="AX13" s="328">
        <f t="shared" si="8"/>
        <v>3450</v>
      </c>
      <c r="AY13" s="328">
        <f t="shared" si="8"/>
        <v>8932</v>
      </c>
      <c r="AZ13" s="328">
        <f t="shared" si="8"/>
        <v>8186</v>
      </c>
      <c r="BB13" s="289" t="s">
        <v>177</v>
      </c>
      <c r="BC13" s="328">
        <f t="shared" ref="BC13:BC23" si="10">U13/2</f>
        <v>1353</v>
      </c>
      <c r="BD13" s="328">
        <f t="shared" si="9"/>
        <v>757.5</v>
      </c>
      <c r="BE13" s="328">
        <f t="shared" si="9"/>
        <v>985</v>
      </c>
      <c r="BF13" s="328">
        <f t="shared" si="9"/>
        <v>3338</v>
      </c>
      <c r="BG13" s="328">
        <f t="shared" si="9"/>
        <v>0</v>
      </c>
      <c r="BH13" s="328">
        <f t="shared" si="9"/>
        <v>0</v>
      </c>
      <c r="BI13" s="328">
        <f t="shared" si="9"/>
        <v>766.5</v>
      </c>
      <c r="BJ13" s="328">
        <f t="shared" si="9"/>
        <v>0</v>
      </c>
      <c r="BK13" s="328">
        <f t="shared" si="9"/>
        <v>2929</v>
      </c>
      <c r="BL13" s="328">
        <f t="shared" si="9"/>
        <v>2929</v>
      </c>
      <c r="BM13" s="328">
        <f t="shared" si="9"/>
        <v>2929</v>
      </c>
      <c r="BN13" s="328">
        <f t="shared" si="9"/>
        <v>954</v>
      </c>
      <c r="BO13" s="328">
        <f t="shared" si="9"/>
        <v>862.5</v>
      </c>
      <c r="BP13" s="328">
        <f t="shared" si="9"/>
        <v>2233</v>
      </c>
      <c r="BQ13" s="328">
        <f t="shared" si="9"/>
        <v>2046.5</v>
      </c>
    </row>
    <row r="14" spans="1:71" ht="24.75" customHeight="1" x14ac:dyDescent="0.25">
      <c r="A14" s="279" t="s">
        <v>178</v>
      </c>
      <c r="B14" s="578"/>
      <c r="C14" s="329" t="s">
        <v>167</v>
      </c>
      <c r="D14" s="337">
        <v>32</v>
      </c>
      <c r="E14" s="337">
        <v>78</v>
      </c>
      <c r="F14" s="309">
        <v>81</v>
      </c>
      <c r="G14" s="337">
        <v>33</v>
      </c>
      <c r="H14" s="337">
        <v>53</v>
      </c>
      <c r="I14" s="309">
        <v>34</v>
      </c>
      <c r="J14" s="337">
        <v>84</v>
      </c>
      <c r="K14" s="313">
        <v>41</v>
      </c>
      <c r="L14" s="337" t="s">
        <v>209</v>
      </c>
      <c r="M14" s="322">
        <v>85</v>
      </c>
      <c r="N14" s="309">
        <v>82</v>
      </c>
      <c r="O14" s="309">
        <v>21</v>
      </c>
      <c r="P14" s="337">
        <v>20</v>
      </c>
      <c r="Q14" s="337">
        <v>48</v>
      </c>
      <c r="R14" s="309">
        <v>58</v>
      </c>
      <c r="T14" s="289" t="s">
        <v>178</v>
      </c>
      <c r="U14" s="328">
        <v>38.5</v>
      </c>
      <c r="V14" s="328">
        <v>582</v>
      </c>
      <c r="W14" s="328">
        <v>48.1</v>
      </c>
      <c r="X14" s="328">
        <v>173</v>
      </c>
      <c r="AA14" s="328">
        <v>18.5</v>
      </c>
      <c r="AC14" s="328">
        <v>29.6</v>
      </c>
      <c r="AD14" s="328">
        <v>29.6</v>
      </c>
      <c r="AE14" s="328">
        <v>29.6</v>
      </c>
      <c r="AF14" s="328">
        <v>62</v>
      </c>
      <c r="AG14" s="328">
        <v>51.3</v>
      </c>
      <c r="AH14" s="328">
        <v>24.6</v>
      </c>
      <c r="AI14" s="328">
        <v>342</v>
      </c>
      <c r="AK14" s="289" t="s">
        <v>178</v>
      </c>
      <c r="AL14" s="328">
        <f t="shared" si="8"/>
        <v>77</v>
      </c>
      <c r="AM14" s="328">
        <f t="shared" si="8"/>
        <v>1164</v>
      </c>
      <c r="AN14" s="328">
        <f t="shared" si="8"/>
        <v>96.2</v>
      </c>
      <c r="AO14" s="328">
        <f t="shared" si="8"/>
        <v>346</v>
      </c>
      <c r="AP14" s="328">
        <f t="shared" si="8"/>
        <v>0</v>
      </c>
      <c r="AQ14" s="328">
        <f t="shared" si="8"/>
        <v>0</v>
      </c>
      <c r="AR14" s="328">
        <f t="shared" si="8"/>
        <v>37</v>
      </c>
      <c r="AS14" s="328">
        <f t="shared" si="8"/>
        <v>0</v>
      </c>
      <c r="AT14" s="328">
        <f t="shared" si="8"/>
        <v>59.2</v>
      </c>
      <c r="AU14" s="328">
        <f t="shared" si="8"/>
        <v>59.2</v>
      </c>
      <c r="AV14" s="328">
        <f t="shared" si="8"/>
        <v>59.2</v>
      </c>
      <c r="AW14" s="328">
        <f t="shared" si="8"/>
        <v>124</v>
      </c>
      <c r="AX14" s="328">
        <f t="shared" si="8"/>
        <v>102.6</v>
      </c>
      <c r="AY14" s="328">
        <f t="shared" si="8"/>
        <v>49.2</v>
      </c>
      <c r="AZ14" s="328">
        <f t="shared" si="8"/>
        <v>684</v>
      </c>
      <c r="BB14" s="289" t="s">
        <v>178</v>
      </c>
      <c r="BC14" s="328">
        <f t="shared" si="10"/>
        <v>19.25</v>
      </c>
      <c r="BD14" s="328">
        <f t="shared" si="9"/>
        <v>291</v>
      </c>
      <c r="BE14" s="328">
        <f t="shared" si="9"/>
        <v>24.05</v>
      </c>
      <c r="BF14" s="328">
        <f t="shared" si="9"/>
        <v>86.5</v>
      </c>
      <c r="BG14" s="328">
        <f t="shared" si="9"/>
        <v>0</v>
      </c>
      <c r="BH14" s="328">
        <f t="shared" si="9"/>
        <v>0</v>
      </c>
      <c r="BI14" s="328">
        <f t="shared" si="9"/>
        <v>9.25</v>
      </c>
      <c r="BJ14" s="328">
        <f t="shared" si="9"/>
        <v>0</v>
      </c>
      <c r="BK14" s="328">
        <f t="shared" si="9"/>
        <v>14.8</v>
      </c>
      <c r="BL14" s="328">
        <f t="shared" si="9"/>
        <v>14.8</v>
      </c>
      <c r="BM14" s="328">
        <f t="shared" si="9"/>
        <v>14.8</v>
      </c>
      <c r="BN14" s="328">
        <f t="shared" si="9"/>
        <v>31</v>
      </c>
      <c r="BO14" s="328">
        <f t="shared" si="9"/>
        <v>25.65</v>
      </c>
      <c r="BP14" s="328">
        <f t="shared" si="9"/>
        <v>12.3</v>
      </c>
      <c r="BQ14" s="328">
        <f t="shared" si="9"/>
        <v>171</v>
      </c>
    </row>
    <row r="15" spans="1:71" ht="24.75" customHeight="1" x14ac:dyDescent="0.25">
      <c r="A15" s="279" t="s">
        <v>179</v>
      </c>
      <c r="B15" s="280" t="s">
        <v>166</v>
      </c>
      <c r="C15" s="329" t="s">
        <v>167</v>
      </c>
      <c r="D15" s="309">
        <v>2.9</v>
      </c>
      <c r="E15" s="309">
        <v>15</v>
      </c>
      <c r="F15" s="309">
        <v>7.5</v>
      </c>
      <c r="G15" s="309">
        <v>13.4</v>
      </c>
      <c r="H15" s="309">
        <v>1.2</v>
      </c>
      <c r="I15" s="309" t="s">
        <v>241</v>
      </c>
      <c r="J15" s="309">
        <v>5</v>
      </c>
      <c r="K15" s="310">
        <v>6.5</v>
      </c>
      <c r="L15" s="309">
        <v>1.9</v>
      </c>
      <c r="M15" s="322">
        <v>21.1</v>
      </c>
      <c r="N15" s="309">
        <v>18.100000000000001</v>
      </c>
      <c r="O15" s="309">
        <v>4.5</v>
      </c>
      <c r="P15" s="309">
        <v>30.2</v>
      </c>
      <c r="Q15" s="309">
        <v>5.2</v>
      </c>
      <c r="R15" s="309">
        <v>107.2</v>
      </c>
      <c r="T15" s="289" t="s">
        <v>179</v>
      </c>
      <c r="AK15" s="289" t="s">
        <v>179</v>
      </c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B15" s="289" t="s">
        <v>179</v>
      </c>
      <c r="BC15" s="328"/>
      <c r="BD15" s="328"/>
      <c r="BE15" s="328"/>
      <c r="BF15" s="328"/>
      <c r="BG15" s="328"/>
      <c r="BH15" s="328"/>
      <c r="BI15" s="328"/>
      <c r="BJ15" s="328"/>
      <c r="BK15" s="328"/>
      <c r="BL15" s="328"/>
      <c r="BM15" s="328"/>
      <c r="BN15" s="328"/>
      <c r="BO15" s="328"/>
      <c r="BP15" s="328"/>
      <c r="BQ15" s="328"/>
    </row>
    <row r="16" spans="1:71" ht="24.75" customHeight="1" x14ac:dyDescent="0.25">
      <c r="A16" s="279" t="s">
        <v>180</v>
      </c>
      <c r="B16" s="280" t="s">
        <v>166</v>
      </c>
      <c r="C16" s="329" t="s">
        <v>167</v>
      </c>
      <c r="D16" s="309">
        <v>22.8</v>
      </c>
      <c r="E16" s="309">
        <v>58.8</v>
      </c>
      <c r="F16" s="309">
        <v>39.799999999999997</v>
      </c>
      <c r="G16" s="309">
        <v>83.4</v>
      </c>
      <c r="H16" s="309">
        <v>1.6</v>
      </c>
      <c r="I16" s="313">
        <v>1066.7</v>
      </c>
      <c r="J16" s="309">
        <v>6.8</v>
      </c>
      <c r="K16" s="309">
        <v>95</v>
      </c>
      <c r="L16" s="310">
        <v>13.1</v>
      </c>
      <c r="M16" s="322">
        <v>21.4</v>
      </c>
      <c r="N16" s="309">
        <v>26.9</v>
      </c>
      <c r="O16" s="309">
        <v>23.6</v>
      </c>
      <c r="P16" s="309">
        <v>28.9</v>
      </c>
      <c r="Q16" s="309">
        <v>21.7</v>
      </c>
      <c r="R16" s="309">
        <v>16.2</v>
      </c>
      <c r="T16" s="289" t="s">
        <v>180</v>
      </c>
      <c r="U16" s="328">
        <v>42.7</v>
      </c>
      <c r="V16" s="328">
        <v>24</v>
      </c>
      <c r="W16" s="328">
        <v>97.4</v>
      </c>
      <c r="X16" s="328">
        <v>50.8</v>
      </c>
      <c r="Y16" s="328">
        <v>11.7</v>
      </c>
      <c r="Z16" s="328">
        <v>264.2</v>
      </c>
      <c r="AA16" s="328">
        <v>46.6</v>
      </c>
      <c r="AC16" s="328">
        <v>22</v>
      </c>
      <c r="AD16" s="328">
        <v>22</v>
      </c>
      <c r="AE16" s="328">
        <v>22</v>
      </c>
      <c r="AF16" s="328">
        <v>40.200000000000003</v>
      </c>
      <c r="AG16" s="328">
        <v>30.8</v>
      </c>
      <c r="AH16" s="328">
        <v>34.9</v>
      </c>
      <c r="AI16" s="328">
        <v>74.2</v>
      </c>
      <c r="AK16" s="289" t="s">
        <v>180</v>
      </c>
      <c r="AL16" s="328">
        <f t="shared" si="8"/>
        <v>85.4</v>
      </c>
      <c r="AM16" s="328">
        <f t="shared" si="8"/>
        <v>48</v>
      </c>
      <c r="AN16" s="328">
        <f t="shared" si="8"/>
        <v>194.8</v>
      </c>
      <c r="AO16" s="328">
        <f t="shared" si="8"/>
        <v>101.6</v>
      </c>
      <c r="AP16" s="328">
        <f t="shared" si="8"/>
        <v>23.4</v>
      </c>
      <c r="AQ16" s="328">
        <f t="shared" si="8"/>
        <v>528.4</v>
      </c>
      <c r="AR16" s="328">
        <f t="shared" si="8"/>
        <v>93.2</v>
      </c>
      <c r="AS16" s="328">
        <f t="shared" si="8"/>
        <v>0</v>
      </c>
      <c r="AT16" s="328">
        <f t="shared" si="8"/>
        <v>44</v>
      </c>
      <c r="AU16" s="328">
        <f t="shared" si="8"/>
        <v>44</v>
      </c>
      <c r="AV16" s="328">
        <f t="shared" si="8"/>
        <v>44</v>
      </c>
      <c r="AW16" s="328">
        <f t="shared" si="8"/>
        <v>80.400000000000006</v>
      </c>
      <c r="AX16" s="328">
        <f t="shared" si="8"/>
        <v>61.6</v>
      </c>
      <c r="AY16" s="328">
        <f t="shared" si="8"/>
        <v>69.8</v>
      </c>
      <c r="AZ16" s="328">
        <f t="shared" si="8"/>
        <v>148.4</v>
      </c>
      <c r="BB16" s="289" t="s">
        <v>180</v>
      </c>
      <c r="BC16" s="328">
        <f t="shared" si="10"/>
        <v>21.35</v>
      </c>
      <c r="BD16" s="328">
        <f t="shared" si="9"/>
        <v>12</v>
      </c>
      <c r="BE16" s="328">
        <f t="shared" si="9"/>
        <v>48.7</v>
      </c>
      <c r="BF16" s="328">
        <f t="shared" si="9"/>
        <v>25.4</v>
      </c>
      <c r="BG16" s="328">
        <f t="shared" si="9"/>
        <v>5.85</v>
      </c>
      <c r="BH16" s="328">
        <f t="shared" si="9"/>
        <v>132.1</v>
      </c>
      <c r="BI16" s="328">
        <f t="shared" si="9"/>
        <v>23.3</v>
      </c>
      <c r="BJ16" s="328">
        <f t="shared" si="9"/>
        <v>0</v>
      </c>
      <c r="BK16" s="328">
        <f t="shared" si="9"/>
        <v>11</v>
      </c>
      <c r="BL16" s="328">
        <f t="shared" si="9"/>
        <v>11</v>
      </c>
      <c r="BM16" s="328">
        <f t="shared" si="9"/>
        <v>11</v>
      </c>
      <c r="BN16" s="328">
        <f t="shared" si="9"/>
        <v>20.100000000000001</v>
      </c>
      <c r="BO16" s="328">
        <f t="shared" si="9"/>
        <v>15.4</v>
      </c>
      <c r="BP16" s="328">
        <f t="shared" si="9"/>
        <v>17.45</v>
      </c>
      <c r="BQ16" s="328">
        <f t="shared" si="9"/>
        <v>37.1</v>
      </c>
    </row>
    <row r="17" spans="1:69" ht="24.75" customHeight="1" x14ac:dyDescent="0.25">
      <c r="A17" s="279" t="s">
        <v>181</v>
      </c>
      <c r="B17" s="280" t="s">
        <v>166</v>
      </c>
      <c r="C17" s="329" t="s">
        <v>167</v>
      </c>
      <c r="D17" s="337" t="s">
        <v>210</v>
      </c>
      <c r="E17" s="337">
        <v>0.2</v>
      </c>
      <c r="F17" s="309" t="s">
        <v>210</v>
      </c>
      <c r="G17" s="309">
        <v>0.9</v>
      </c>
      <c r="H17" s="337" t="s">
        <v>210</v>
      </c>
      <c r="I17" s="309" t="s">
        <v>210</v>
      </c>
      <c r="J17" s="337" t="s">
        <v>210</v>
      </c>
      <c r="K17" s="337" t="s">
        <v>210</v>
      </c>
      <c r="L17" s="337" t="s">
        <v>210</v>
      </c>
      <c r="M17" s="322">
        <v>0.9</v>
      </c>
      <c r="N17" s="309">
        <v>0.1</v>
      </c>
      <c r="O17" s="337">
        <v>1.4</v>
      </c>
      <c r="P17" s="309" t="s">
        <v>210</v>
      </c>
      <c r="Q17" s="337" t="s">
        <v>210</v>
      </c>
      <c r="R17" s="309">
        <v>2</v>
      </c>
      <c r="T17" s="289" t="s">
        <v>181</v>
      </c>
      <c r="U17" s="328">
        <v>2.74</v>
      </c>
      <c r="V17" s="328">
        <v>0.68</v>
      </c>
      <c r="W17" s="328">
        <v>5.19</v>
      </c>
      <c r="X17" s="328">
        <v>0.91</v>
      </c>
      <c r="Y17" s="328">
        <v>0.65</v>
      </c>
      <c r="Z17" s="328">
        <v>0.25</v>
      </c>
      <c r="AA17" s="328">
        <v>0.41</v>
      </c>
      <c r="AC17" s="328">
        <v>0.25</v>
      </c>
      <c r="AD17" s="328">
        <v>0.25</v>
      </c>
      <c r="AE17" s="328">
        <v>0.25</v>
      </c>
      <c r="AF17" s="328">
        <v>0.42</v>
      </c>
      <c r="AG17" s="328">
        <v>0.28000000000000003</v>
      </c>
      <c r="AH17" s="328">
        <v>0.92</v>
      </c>
      <c r="AI17" s="328">
        <v>1.17</v>
      </c>
      <c r="AK17" s="289" t="s">
        <v>181</v>
      </c>
      <c r="AL17" s="328">
        <f t="shared" si="8"/>
        <v>5.48</v>
      </c>
      <c r="AM17" s="328">
        <f t="shared" si="8"/>
        <v>1.36</v>
      </c>
      <c r="AN17" s="328">
        <f t="shared" si="8"/>
        <v>10.38</v>
      </c>
      <c r="AO17" s="328">
        <f t="shared" si="8"/>
        <v>1.82</v>
      </c>
      <c r="AP17" s="328">
        <f t="shared" si="8"/>
        <v>1.3</v>
      </c>
      <c r="AQ17" s="328">
        <f t="shared" si="8"/>
        <v>0.5</v>
      </c>
      <c r="AR17" s="328">
        <f t="shared" si="8"/>
        <v>0.82</v>
      </c>
      <c r="AS17" s="328">
        <f t="shared" si="8"/>
        <v>0</v>
      </c>
      <c r="AT17" s="328">
        <f t="shared" si="8"/>
        <v>0.5</v>
      </c>
      <c r="AU17" s="328">
        <f t="shared" si="8"/>
        <v>0.5</v>
      </c>
      <c r="AV17" s="328">
        <f t="shared" si="8"/>
        <v>0.5</v>
      </c>
      <c r="AW17" s="328">
        <f t="shared" si="8"/>
        <v>0.84</v>
      </c>
      <c r="AX17" s="328">
        <f t="shared" si="8"/>
        <v>0.56000000000000005</v>
      </c>
      <c r="AY17" s="328">
        <f t="shared" si="8"/>
        <v>1.84</v>
      </c>
      <c r="AZ17" s="328">
        <f t="shared" si="8"/>
        <v>2.34</v>
      </c>
      <c r="BB17" s="289" t="s">
        <v>181</v>
      </c>
      <c r="BC17" s="328">
        <f t="shared" si="10"/>
        <v>1.37</v>
      </c>
      <c r="BD17" s="328">
        <f t="shared" si="9"/>
        <v>0.34</v>
      </c>
      <c r="BE17" s="328">
        <f t="shared" si="9"/>
        <v>2.5950000000000002</v>
      </c>
      <c r="BF17" s="328">
        <f t="shared" si="9"/>
        <v>0.45500000000000002</v>
      </c>
      <c r="BG17" s="328">
        <f t="shared" si="9"/>
        <v>0.32500000000000001</v>
      </c>
      <c r="BH17" s="328">
        <f t="shared" si="9"/>
        <v>0.125</v>
      </c>
      <c r="BI17" s="328">
        <f t="shared" si="9"/>
        <v>0.20499999999999999</v>
      </c>
      <c r="BJ17" s="328">
        <f t="shared" si="9"/>
        <v>0</v>
      </c>
      <c r="BK17" s="328">
        <f t="shared" si="9"/>
        <v>0.125</v>
      </c>
      <c r="BL17" s="328">
        <f t="shared" si="9"/>
        <v>0.125</v>
      </c>
      <c r="BM17" s="328">
        <f t="shared" si="9"/>
        <v>0.125</v>
      </c>
      <c r="BN17" s="328">
        <f t="shared" si="9"/>
        <v>0.21</v>
      </c>
      <c r="BO17" s="328">
        <f t="shared" si="9"/>
        <v>0.14000000000000001</v>
      </c>
      <c r="BP17" s="328">
        <f t="shared" si="9"/>
        <v>0.46</v>
      </c>
      <c r="BQ17" s="328">
        <f t="shared" si="9"/>
        <v>0.58499999999999996</v>
      </c>
    </row>
    <row r="18" spans="1:69" ht="24.75" customHeight="1" x14ac:dyDescent="0.25">
      <c r="A18" s="279" t="s">
        <v>182</v>
      </c>
      <c r="B18" s="280" t="s">
        <v>166</v>
      </c>
      <c r="C18" s="329" t="s">
        <v>167</v>
      </c>
      <c r="D18" s="309">
        <v>3.9</v>
      </c>
      <c r="E18" s="309">
        <v>9.1999999999999993</v>
      </c>
      <c r="F18" s="309">
        <v>6.4</v>
      </c>
      <c r="G18" s="309">
        <v>52.5</v>
      </c>
      <c r="H18" s="309">
        <v>13</v>
      </c>
      <c r="I18" s="339">
        <v>144.80000000000001</v>
      </c>
      <c r="J18" s="309">
        <v>93.8</v>
      </c>
      <c r="K18" s="309">
        <v>10.6</v>
      </c>
      <c r="L18" s="309">
        <v>9.5</v>
      </c>
      <c r="M18" s="322">
        <v>29</v>
      </c>
      <c r="N18" s="309">
        <v>12.4</v>
      </c>
      <c r="O18" s="309">
        <v>7.1</v>
      </c>
      <c r="P18" s="309">
        <v>5.3</v>
      </c>
      <c r="Q18" s="309">
        <v>20.8</v>
      </c>
      <c r="R18" s="309">
        <v>24.2</v>
      </c>
      <c r="T18" s="289" t="s">
        <v>182</v>
      </c>
      <c r="U18" s="328">
        <v>15.5</v>
      </c>
      <c r="V18" s="328">
        <v>27.1</v>
      </c>
      <c r="W18" s="328">
        <v>17.7</v>
      </c>
      <c r="X18" s="328">
        <v>63.4</v>
      </c>
      <c r="Y18" s="328">
        <v>534</v>
      </c>
      <c r="Z18" s="328">
        <v>153</v>
      </c>
      <c r="AA18" s="328">
        <v>33.700000000000003</v>
      </c>
      <c r="AC18" s="328">
        <v>10.7</v>
      </c>
      <c r="AD18" s="328">
        <v>10.7</v>
      </c>
      <c r="AE18" s="328">
        <v>10.7</v>
      </c>
      <c r="AF18" s="328">
        <v>8</v>
      </c>
      <c r="AG18" s="328">
        <v>9.5</v>
      </c>
      <c r="AH18" s="328">
        <v>10.3</v>
      </c>
      <c r="AI18" s="328">
        <v>86</v>
      </c>
      <c r="AK18" s="289" t="s">
        <v>182</v>
      </c>
      <c r="AL18" s="328">
        <f t="shared" si="8"/>
        <v>31</v>
      </c>
      <c r="AM18" s="328">
        <f t="shared" si="8"/>
        <v>54.2</v>
      </c>
      <c r="AN18" s="328">
        <f t="shared" si="8"/>
        <v>35.4</v>
      </c>
      <c r="AO18" s="328">
        <f t="shared" si="8"/>
        <v>126.8</v>
      </c>
      <c r="AP18" s="328">
        <f t="shared" si="8"/>
        <v>1068</v>
      </c>
      <c r="AQ18" s="328">
        <f t="shared" si="8"/>
        <v>306</v>
      </c>
      <c r="AR18" s="328">
        <f t="shared" si="8"/>
        <v>67.400000000000006</v>
      </c>
      <c r="AS18" s="328">
        <f t="shared" si="8"/>
        <v>0</v>
      </c>
      <c r="AT18" s="328">
        <f t="shared" si="8"/>
        <v>21.4</v>
      </c>
      <c r="AU18" s="328">
        <f t="shared" si="8"/>
        <v>21.4</v>
      </c>
      <c r="AV18" s="328">
        <f t="shared" si="8"/>
        <v>21.4</v>
      </c>
      <c r="AW18" s="328">
        <f t="shared" si="8"/>
        <v>16</v>
      </c>
      <c r="AX18" s="328">
        <f t="shared" si="8"/>
        <v>19</v>
      </c>
      <c r="AY18" s="328">
        <f t="shared" si="8"/>
        <v>20.6</v>
      </c>
      <c r="AZ18" s="328">
        <f t="shared" si="8"/>
        <v>172</v>
      </c>
      <c r="BB18" s="289" t="s">
        <v>182</v>
      </c>
      <c r="BC18" s="328">
        <f t="shared" si="10"/>
        <v>7.75</v>
      </c>
      <c r="BD18" s="328">
        <f t="shared" si="9"/>
        <v>13.55</v>
      </c>
      <c r="BE18" s="328">
        <f t="shared" si="9"/>
        <v>8.85</v>
      </c>
      <c r="BF18" s="328">
        <f t="shared" si="9"/>
        <v>31.7</v>
      </c>
      <c r="BG18" s="328">
        <f t="shared" si="9"/>
        <v>267</v>
      </c>
      <c r="BH18" s="328">
        <f t="shared" si="9"/>
        <v>76.5</v>
      </c>
      <c r="BI18" s="328">
        <f t="shared" si="9"/>
        <v>16.850000000000001</v>
      </c>
      <c r="BJ18" s="328">
        <f t="shared" si="9"/>
        <v>0</v>
      </c>
      <c r="BK18" s="328">
        <f t="shared" si="9"/>
        <v>5.35</v>
      </c>
      <c r="BL18" s="328">
        <f t="shared" si="9"/>
        <v>5.35</v>
      </c>
      <c r="BM18" s="328">
        <f t="shared" si="9"/>
        <v>5.35</v>
      </c>
      <c r="BN18" s="328">
        <f t="shared" si="9"/>
        <v>4</v>
      </c>
      <c r="BO18" s="328">
        <f t="shared" si="9"/>
        <v>4.75</v>
      </c>
      <c r="BP18" s="328">
        <f t="shared" si="9"/>
        <v>5.15</v>
      </c>
      <c r="BQ18" s="328">
        <f t="shared" si="9"/>
        <v>43</v>
      </c>
    </row>
    <row r="19" spans="1:69" ht="24.75" customHeight="1" x14ac:dyDescent="0.25">
      <c r="A19" s="279" t="s">
        <v>183</v>
      </c>
      <c r="B19" s="280" t="s">
        <v>166</v>
      </c>
      <c r="C19" s="329" t="s">
        <v>167</v>
      </c>
      <c r="D19" s="309">
        <v>2.7</v>
      </c>
      <c r="E19" s="309">
        <v>3.7</v>
      </c>
      <c r="F19" s="309">
        <v>5.6</v>
      </c>
      <c r="G19" s="309">
        <v>49.2</v>
      </c>
      <c r="H19" s="309" t="s">
        <v>241</v>
      </c>
      <c r="I19" s="309">
        <v>62.6</v>
      </c>
      <c r="J19" s="309">
        <v>4.4000000000000004</v>
      </c>
      <c r="K19" s="309">
        <v>5.5</v>
      </c>
      <c r="L19" s="309">
        <v>5.7</v>
      </c>
      <c r="M19" s="322">
        <v>17.7</v>
      </c>
      <c r="N19" s="309">
        <v>7.2</v>
      </c>
      <c r="O19" s="309">
        <v>2.8</v>
      </c>
      <c r="P19" s="309">
        <v>2.2000000000000002</v>
      </c>
      <c r="Q19" s="309">
        <v>4.7</v>
      </c>
      <c r="R19" s="309">
        <v>15.1</v>
      </c>
      <c r="T19" s="289" t="s">
        <v>183</v>
      </c>
      <c r="U19" s="328">
        <v>10.9</v>
      </c>
      <c r="V19" s="328">
        <v>26.8</v>
      </c>
      <c r="W19" s="328">
        <v>10</v>
      </c>
      <c r="X19" s="328">
        <v>10.8</v>
      </c>
      <c r="Y19" s="328">
        <v>29.9</v>
      </c>
      <c r="Z19" s="328">
        <v>106.9</v>
      </c>
      <c r="AA19" s="328">
        <v>15</v>
      </c>
      <c r="AC19" s="328">
        <v>5.4</v>
      </c>
      <c r="AD19" s="328">
        <v>5.4</v>
      </c>
      <c r="AE19" s="328">
        <v>5.4</v>
      </c>
      <c r="AF19" s="328">
        <v>4.7</v>
      </c>
      <c r="AG19" s="328">
        <v>5.7</v>
      </c>
      <c r="AH19" s="328">
        <v>3.6</v>
      </c>
      <c r="AI19" s="328">
        <v>44</v>
      </c>
      <c r="AK19" s="289" t="s">
        <v>183</v>
      </c>
      <c r="AL19" s="328">
        <f t="shared" si="8"/>
        <v>21.8</v>
      </c>
      <c r="AM19" s="328">
        <f t="shared" si="8"/>
        <v>53.6</v>
      </c>
      <c r="AN19" s="328">
        <f t="shared" si="8"/>
        <v>20</v>
      </c>
      <c r="AO19" s="328">
        <f t="shared" si="8"/>
        <v>21.6</v>
      </c>
      <c r="AP19" s="328">
        <f t="shared" si="8"/>
        <v>59.8</v>
      </c>
      <c r="AQ19" s="328">
        <f t="shared" si="8"/>
        <v>213.8</v>
      </c>
      <c r="AR19" s="328">
        <f t="shared" si="8"/>
        <v>30</v>
      </c>
      <c r="AS19" s="328">
        <f t="shared" si="8"/>
        <v>0</v>
      </c>
      <c r="AT19" s="328">
        <f t="shared" si="8"/>
        <v>10.8</v>
      </c>
      <c r="AU19" s="328">
        <f t="shared" si="8"/>
        <v>10.8</v>
      </c>
      <c r="AV19" s="328">
        <f t="shared" si="8"/>
        <v>10.8</v>
      </c>
      <c r="AW19" s="328">
        <f t="shared" si="8"/>
        <v>9.4</v>
      </c>
      <c r="AX19" s="328">
        <f t="shared" si="8"/>
        <v>11.4</v>
      </c>
      <c r="AY19" s="328">
        <f t="shared" si="8"/>
        <v>7.2</v>
      </c>
      <c r="AZ19" s="328">
        <f t="shared" si="8"/>
        <v>88</v>
      </c>
      <c r="BB19" s="289" t="s">
        <v>183</v>
      </c>
      <c r="BC19" s="328">
        <f t="shared" si="10"/>
        <v>5.45</v>
      </c>
      <c r="BD19" s="328">
        <f t="shared" si="9"/>
        <v>13.4</v>
      </c>
      <c r="BE19" s="328">
        <f t="shared" si="9"/>
        <v>5</v>
      </c>
      <c r="BF19" s="328">
        <f t="shared" si="9"/>
        <v>5.4</v>
      </c>
      <c r="BG19" s="328">
        <f t="shared" si="9"/>
        <v>14.95</v>
      </c>
      <c r="BH19" s="328">
        <f t="shared" si="9"/>
        <v>53.45</v>
      </c>
      <c r="BI19" s="328">
        <f t="shared" si="9"/>
        <v>7.5</v>
      </c>
      <c r="BJ19" s="328">
        <f t="shared" si="9"/>
        <v>0</v>
      </c>
      <c r="BK19" s="328">
        <f t="shared" si="9"/>
        <v>2.7</v>
      </c>
      <c r="BL19" s="328">
        <f t="shared" si="9"/>
        <v>2.7</v>
      </c>
      <c r="BM19" s="328">
        <f t="shared" si="9"/>
        <v>2.7</v>
      </c>
      <c r="BN19" s="328">
        <f t="shared" si="9"/>
        <v>2.35</v>
      </c>
      <c r="BO19" s="328">
        <f t="shared" si="9"/>
        <v>2.85</v>
      </c>
      <c r="BP19" s="328">
        <f t="shared" si="9"/>
        <v>1.8</v>
      </c>
      <c r="BQ19" s="328">
        <f t="shared" si="9"/>
        <v>22</v>
      </c>
    </row>
    <row r="20" spans="1:69" ht="24.75" customHeight="1" x14ac:dyDescent="0.25">
      <c r="A20" s="279" t="s">
        <v>184</v>
      </c>
      <c r="B20" s="280" t="s">
        <v>166</v>
      </c>
      <c r="C20" s="329" t="s">
        <v>167</v>
      </c>
      <c r="D20" s="309">
        <v>18.600000000000001</v>
      </c>
      <c r="E20" s="309">
        <v>127</v>
      </c>
      <c r="F20" s="309">
        <v>85.7</v>
      </c>
      <c r="G20" s="309">
        <v>538.6</v>
      </c>
      <c r="H20" s="309">
        <v>2.8</v>
      </c>
      <c r="I20" s="309">
        <v>1</v>
      </c>
      <c r="J20" s="309">
        <v>64.099999999999994</v>
      </c>
      <c r="K20" s="309">
        <v>129.9</v>
      </c>
      <c r="L20" s="309">
        <v>67.400000000000006</v>
      </c>
      <c r="M20" s="322">
        <v>131.1</v>
      </c>
      <c r="N20" s="309">
        <v>65.5</v>
      </c>
      <c r="O20" s="309">
        <v>37.299999999999997</v>
      </c>
      <c r="P20" s="309">
        <v>48.9</v>
      </c>
      <c r="Q20" s="309">
        <v>303.2</v>
      </c>
      <c r="R20" s="309">
        <v>189.1</v>
      </c>
      <c r="T20" s="289" t="s">
        <v>184</v>
      </c>
      <c r="U20" s="328">
        <v>148</v>
      </c>
      <c r="V20" s="328">
        <v>159</v>
      </c>
      <c r="W20" s="328">
        <v>288</v>
      </c>
      <c r="X20" s="328">
        <v>628</v>
      </c>
      <c r="Y20" s="328">
        <v>59</v>
      </c>
      <c r="Z20" s="328">
        <v>479</v>
      </c>
      <c r="AA20" s="328">
        <v>581</v>
      </c>
      <c r="AC20" s="328">
        <v>411</v>
      </c>
      <c r="AD20" s="328">
        <v>411</v>
      </c>
      <c r="AE20" s="328">
        <v>411</v>
      </c>
      <c r="AF20" s="328">
        <v>66</v>
      </c>
      <c r="AG20" s="328">
        <v>73</v>
      </c>
      <c r="AH20" s="328">
        <v>320</v>
      </c>
      <c r="AI20" s="328">
        <v>543</v>
      </c>
      <c r="AK20" s="289" t="s">
        <v>184</v>
      </c>
      <c r="AL20" s="328">
        <f t="shared" si="8"/>
        <v>296</v>
      </c>
      <c r="AM20" s="328">
        <f t="shared" si="8"/>
        <v>318</v>
      </c>
      <c r="AN20" s="328">
        <f t="shared" si="8"/>
        <v>576</v>
      </c>
      <c r="AO20" s="328">
        <f t="shared" si="8"/>
        <v>1256</v>
      </c>
      <c r="AP20" s="328">
        <f t="shared" si="8"/>
        <v>118</v>
      </c>
      <c r="AQ20" s="328">
        <f t="shared" si="8"/>
        <v>958</v>
      </c>
      <c r="AR20" s="328">
        <f t="shared" si="8"/>
        <v>1162</v>
      </c>
      <c r="AS20" s="328">
        <f t="shared" si="8"/>
        <v>0</v>
      </c>
      <c r="AT20" s="328">
        <f t="shared" si="8"/>
        <v>822</v>
      </c>
      <c r="AU20" s="328">
        <f t="shared" si="8"/>
        <v>822</v>
      </c>
      <c r="AV20" s="328">
        <f t="shared" si="8"/>
        <v>822</v>
      </c>
      <c r="AW20" s="328">
        <f t="shared" si="8"/>
        <v>132</v>
      </c>
      <c r="AX20" s="328">
        <f t="shared" si="8"/>
        <v>146</v>
      </c>
      <c r="AY20" s="328">
        <f t="shared" si="8"/>
        <v>640</v>
      </c>
      <c r="AZ20" s="328">
        <f t="shared" si="8"/>
        <v>1086</v>
      </c>
      <c r="BB20" s="289" t="s">
        <v>184</v>
      </c>
      <c r="BC20" s="328">
        <f t="shared" si="10"/>
        <v>74</v>
      </c>
      <c r="BD20" s="328">
        <f t="shared" si="9"/>
        <v>79.5</v>
      </c>
      <c r="BE20" s="328">
        <f t="shared" si="9"/>
        <v>144</v>
      </c>
      <c r="BF20" s="328">
        <f t="shared" si="9"/>
        <v>314</v>
      </c>
      <c r="BG20" s="328">
        <f t="shared" si="9"/>
        <v>29.5</v>
      </c>
      <c r="BH20" s="328">
        <f t="shared" si="9"/>
        <v>239.5</v>
      </c>
      <c r="BI20" s="328">
        <f t="shared" si="9"/>
        <v>290.5</v>
      </c>
      <c r="BJ20" s="328">
        <f t="shared" si="9"/>
        <v>0</v>
      </c>
      <c r="BK20" s="328">
        <f t="shared" si="9"/>
        <v>205.5</v>
      </c>
      <c r="BL20" s="328">
        <f t="shared" si="9"/>
        <v>205.5</v>
      </c>
      <c r="BM20" s="328">
        <f t="shared" si="9"/>
        <v>205.5</v>
      </c>
      <c r="BN20" s="328">
        <f t="shared" si="9"/>
        <v>33</v>
      </c>
      <c r="BO20" s="328">
        <f t="shared" si="9"/>
        <v>36.5</v>
      </c>
      <c r="BP20" s="328">
        <f t="shared" si="9"/>
        <v>160</v>
      </c>
      <c r="BQ20" s="328">
        <f t="shared" si="9"/>
        <v>271.5</v>
      </c>
    </row>
    <row r="21" spans="1:69" ht="24.75" customHeight="1" x14ac:dyDescent="0.25">
      <c r="A21" s="279" t="s">
        <v>185</v>
      </c>
      <c r="B21" s="280" t="s">
        <v>186</v>
      </c>
      <c r="C21" s="329" t="s">
        <v>167</v>
      </c>
      <c r="D21" s="310">
        <v>0.1</v>
      </c>
      <c r="E21" s="310">
        <v>1</v>
      </c>
      <c r="F21" s="310">
        <v>0.1</v>
      </c>
      <c r="G21" s="310">
        <v>0.1</v>
      </c>
      <c r="H21" s="310">
        <v>0.1</v>
      </c>
      <c r="I21" s="310">
        <v>0.1</v>
      </c>
      <c r="J21" s="310">
        <v>0.1</v>
      </c>
      <c r="K21" s="340">
        <v>0.1</v>
      </c>
      <c r="L21" s="340">
        <v>0.1</v>
      </c>
      <c r="M21" s="340" t="s">
        <v>210</v>
      </c>
      <c r="N21" s="340">
        <v>0.1</v>
      </c>
      <c r="O21" s="340">
        <v>0.1</v>
      </c>
      <c r="P21" s="340">
        <v>0.1</v>
      </c>
      <c r="Q21" s="340">
        <v>0.1</v>
      </c>
      <c r="R21" s="340">
        <v>0.1</v>
      </c>
      <c r="T21" s="289" t="s">
        <v>185</v>
      </c>
      <c r="U21" s="328">
        <v>0.53</v>
      </c>
      <c r="W21" s="328">
        <v>0.57399999999999995</v>
      </c>
      <c r="X21" s="328">
        <v>8.9999999999999993E-3</v>
      </c>
      <c r="Z21" s="328">
        <v>2.7E-2</v>
      </c>
      <c r="AF21" s="328">
        <v>2E-3</v>
      </c>
      <c r="AH21" s="328">
        <v>4.8000000000000001E-2</v>
      </c>
      <c r="AI21" s="328">
        <v>3.9E-2</v>
      </c>
      <c r="AK21" s="289" t="s">
        <v>185</v>
      </c>
      <c r="AL21" s="328">
        <f t="shared" si="8"/>
        <v>1.06</v>
      </c>
      <c r="AM21" s="328">
        <v>0</v>
      </c>
      <c r="AN21" s="328">
        <f t="shared" si="8"/>
        <v>1.1479999999999999</v>
      </c>
      <c r="AO21" s="328">
        <f t="shared" si="8"/>
        <v>1.7999999999999999E-2</v>
      </c>
      <c r="AP21" s="328"/>
      <c r="AQ21" s="328">
        <f t="shared" si="8"/>
        <v>5.3999999999999999E-2</v>
      </c>
      <c r="AR21" s="328"/>
      <c r="AS21" s="328"/>
      <c r="AT21" s="328"/>
      <c r="AU21" s="328"/>
      <c r="AV21" s="328"/>
      <c r="AW21" s="328">
        <f t="shared" si="8"/>
        <v>4.0000000000000001E-3</v>
      </c>
      <c r="AX21" s="328">
        <f t="shared" si="8"/>
        <v>0</v>
      </c>
      <c r="AY21" s="328">
        <f t="shared" si="8"/>
        <v>9.6000000000000002E-2</v>
      </c>
      <c r="AZ21" s="328">
        <f t="shared" si="8"/>
        <v>7.8E-2</v>
      </c>
      <c r="BB21" s="289" t="s">
        <v>185</v>
      </c>
      <c r="BC21" s="328">
        <f t="shared" si="10"/>
        <v>0.26500000000000001</v>
      </c>
      <c r="BD21" s="328">
        <v>0</v>
      </c>
      <c r="BE21" s="328">
        <f t="shared" si="9"/>
        <v>0.28699999999999998</v>
      </c>
      <c r="BF21" s="328">
        <f t="shared" si="9"/>
        <v>4.4999999999999997E-3</v>
      </c>
      <c r="BG21" s="328"/>
      <c r="BH21" s="328">
        <f t="shared" si="9"/>
        <v>1.35E-2</v>
      </c>
      <c r="BI21" s="328"/>
      <c r="BJ21" s="328"/>
      <c r="BK21" s="328"/>
      <c r="BL21" s="328"/>
      <c r="BM21" s="328"/>
      <c r="BN21" s="328">
        <f t="shared" si="9"/>
        <v>1E-3</v>
      </c>
      <c r="BO21" s="328"/>
      <c r="BP21" s="328">
        <f t="shared" si="9"/>
        <v>2.4E-2</v>
      </c>
      <c r="BQ21" s="328">
        <f t="shared" si="9"/>
        <v>1.95E-2</v>
      </c>
    </row>
    <row r="22" spans="1:69" ht="24.75" customHeight="1" x14ac:dyDescent="0.25">
      <c r="A22" s="279" t="s">
        <v>187</v>
      </c>
      <c r="B22" s="280" t="s">
        <v>166</v>
      </c>
      <c r="C22" s="329" t="s">
        <v>167</v>
      </c>
      <c r="D22" s="309">
        <v>0.2</v>
      </c>
      <c r="E22" s="309">
        <v>0.4</v>
      </c>
      <c r="F22" s="309">
        <v>0.2</v>
      </c>
      <c r="G22" s="309">
        <v>0.3</v>
      </c>
      <c r="H22" s="322" t="s">
        <v>210</v>
      </c>
      <c r="I22" s="309">
        <v>3.8</v>
      </c>
      <c r="J22" s="309">
        <v>2.6</v>
      </c>
      <c r="K22" s="322" t="s">
        <v>210</v>
      </c>
      <c r="L22" s="309">
        <v>0.4</v>
      </c>
      <c r="M22" s="322">
        <v>1.1000000000000001</v>
      </c>
      <c r="N22" s="309">
        <v>1.2</v>
      </c>
      <c r="O22" s="309">
        <v>0.2</v>
      </c>
      <c r="P22" s="309">
        <v>0.5</v>
      </c>
      <c r="Q22" s="309">
        <v>0.4</v>
      </c>
      <c r="R22" s="309">
        <v>1.2</v>
      </c>
      <c r="T22" s="289" t="s">
        <v>187</v>
      </c>
      <c r="U22" s="328">
        <v>0.14000000000000001</v>
      </c>
      <c r="V22" s="328">
        <v>0.17</v>
      </c>
      <c r="W22" s="328">
        <v>0.11</v>
      </c>
      <c r="X22" s="328">
        <v>0.16</v>
      </c>
      <c r="Y22" s="328">
        <v>18.2</v>
      </c>
      <c r="Z22" s="328">
        <v>4.51</v>
      </c>
      <c r="AA22" s="328">
        <v>3.91</v>
      </c>
      <c r="AC22" s="328">
        <v>0.2</v>
      </c>
      <c r="AD22" s="328">
        <v>0.2</v>
      </c>
      <c r="AE22" s="328">
        <v>0.2</v>
      </c>
      <c r="AF22" s="328">
        <v>0.11</v>
      </c>
      <c r="AG22" s="328">
        <v>0.04</v>
      </c>
      <c r="AH22" s="328">
        <v>0.05</v>
      </c>
      <c r="AI22" s="328">
        <v>1.07</v>
      </c>
      <c r="AK22" s="289" t="s">
        <v>187</v>
      </c>
      <c r="AL22" s="328">
        <f t="shared" si="8"/>
        <v>0.28000000000000003</v>
      </c>
      <c r="AM22" s="328">
        <f t="shared" si="8"/>
        <v>0.34</v>
      </c>
      <c r="AN22" s="328">
        <f t="shared" si="8"/>
        <v>0.22</v>
      </c>
      <c r="AO22" s="328">
        <f t="shared" si="8"/>
        <v>0.32</v>
      </c>
      <c r="AP22" s="328">
        <f t="shared" si="8"/>
        <v>36.4</v>
      </c>
      <c r="AQ22" s="328">
        <f t="shared" si="8"/>
        <v>9.02</v>
      </c>
      <c r="AR22" s="328">
        <f t="shared" si="8"/>
        <v>7.82</v>
      </c>
      <c r="AS22" s="328">
        <f t="shared" si="8"/>
        <v>0</v>
      </c>
      <c r="AT22" s="328">
        <f t="shared" si="8"/>
        <v>0.4</v>
      </c>
      <c r="AU22" s="328">
        <f t="shared" si="8"/>
        <v>0.4</v>
      </c>
      <c r="AV22" s="328">
        <f t="shared" si="8"/>
        <v>0.4</v>
      </c>
      <c r="AW22" s="328">
        <f t="shared" si="8"/>
        <v>0.22</v>
      </c>
      <c r="AX22" s="328">
        <f t="shared" si="8"/>
        <v>0.08</v>
      </c>
      <c r="AY22" s="328">
        <f t="shared" si="8"/>
        <v>0.1</v>
      </c>
      <c r="AZ22" s="328">
        <f t="shared" si="8"/>
        <v>2.14</v>
      </c>
      <c r="BB22" s="289" t="s">
        <v>187</v>
      </c>
      <c r="BC22" s="328">
        <f t="shared" si="10"/>
        <v>7.0000000000000007E-2</v>
      </c>
      <c r="BD22" s="328">
        <f t="shared" si="9"/>
        <v>8.5000000000000006E-2</v>
      </c>
      <c r="BE22" s="328">
        <f t="shared" si="9"/>
        <v>5.5E-2</v>
      </c>
      <c r="BF22" s="328">
        <f t="shared" si="9"/>
        <v>0.08</v>
      </c>
      <c r="BG22" s="328">
        <f t="shared" si="9"/>
        <v>9.1</v>
      </c>
      <c r="BH22" s="328">
        <f t="shared" si="9"/>
        <v>2.2549999999999999</v>
      </c>
      <c r="BI22" s="328">
        <f t="shared" si="9"/>
        <v>1.9550000000000001</v>
      </c>
      <c r="BJ22" s="328">
        <f t="shared" si="9"/>
        <v>0</v>
      </c>
      <c r="BK22" s="328">
        <f t="shared" si="9"/>
        <v>0.1</v>
      </c>
      <c r="BL22" s="328">
        <f t="shared" si="9"/>
        <v>0.1</v>
      </c>
      <c r="BM22" s="328">
        <f t="shared" si="9"/>
        <v>0.1</v>
      </c>
      <c r="BN22" s="328">
        <f t="shared" si="9"/>
        <v>5.5E-2</v>
      </c>
      <c r="BO22" s="328">
        <f t="shared" si="9"/>
        <v>0.02</v>
      </c>
      <c r="BP22" s="328">
        <f t="shared" si="9"/>
        <v>2.5000000000000001E-2</v>
      </c>
      <c r="BQ22" s="328">
        <f t="shared" si="9"/>
        <v>0.53500000000000003</v>
      </c>
    </row>
    <row r="23" spans="1:69" ht="24.75" customHeight="1" x14ac:dyDescent="0.25">
      <c r="A23" s="279" t="s">
        <v>188</v>
      </c>
      <c r="B23" s="280" t="s">
        <v>166</v>
      </c>
      <c r="C23" s="329" t="s">
        <v>167</v>
      </c>
      <c r="D23" s="309" t="s">
        <v>210</v>
      </c>
      <c r="E23" s="322" t="s">
        <v>210</v>
      </c>
      <c r="F23" s="322" t="s">
        <v>210</v>
      </c>
      <c r="G23" s="322" t="s">
        <v>210</v>
      </c>
      <c r="H23" s="322" t="s">
        <v>210</v>
      </c>
      <c r="I23" s="322" t="s">
        <v>210</v>
      </c>
      <c r="J23" s="322" t="s">
        <v>210</v>
      </c>
      <c r="K23" s="322" t="s">
        <v>210</v>
      </c>
      <c r="L23" s="322" t="s">
        <v>210</v>
      </c>
      <c r="M23" s="322" t="s">
        <v>210</v>
      </c>
      <c r="N23" s="322" t="s">
        <v>210</v>
      </c>
      <c r="O23" s="322" t="s">
        <v>210</v>
      </c>
      <c r="P23" s="309" t="s">
        <v>210</v>
      </c>
      <c r="Q23" s="322" t="s">
        <v>210</v>
      </c>
      <c r="R23" s="322" t="s">
        <v>210</v>
      </c>
      <c r="T23" s="289" t="s">
        <v>188</v>
      </c>
      <c r="U23" s="328">
        <v>0.17</v>
      </c>
      <c r="V23" s="328">
        <v>0.1</v>
      </c>
      <c r="W23" s="328">
        <v>0.55000000000000004</v>
      </c>
      <c r="X23" s="328">
        <v>0.08</v>
      </c>
      <c r="Y23" s="328">
        <v>0.69</v>
      </c>
      <c r="Z23" s="328">
        <v>0.25</v>
      </c>
      <c r="AA23" s="328">
        <v>0.12</v>
      </c>
      <c r="AC23" s="328">
        <v>0.04</v>
      </c>
      <c r="AD23" s="328">
        <v>0.04</v>
      </c>
      <c r="AE23" s="328">
        <v>0.04</v>
      </c>
      <c r="AF23" s="328">
        <v>0.06</v>
      </c>
      <c r="AG23" s="328">
        <v>7.0000000000000007E-2</v>
      </c>
      <c r="AH23" s="328">
        <v>0.15</v>
      </c>
      <c r="AI23" s="328">
        <v>0.09</v>
      </c>
      <c r="AK23" s="289" t="s">
        <v>188</v>
      </c>
      <c r="AL23" s="328">
        <f>U23*2</f>
        <v>0.34</v>
      </c>
      <c r="AM23" s="328">
        <f t="shared" si="8"/>
        <v>0.2</v>
      </c>
      <c r="AN23" s="328">
        <f t="shared" si="8"/>
        <v>1.1000000000000001</v>
      </c>
      <c r="AO23" s="328">
        <f t="shared" si="8"/>
        <v>0.16</v>
      </c>
      <c r="AP23" s="328">
        <f t="shared" si="8"/>
        <v>1.38</v>
      </c>
      <c r="AQ23" s="328">
        <f t="shared" si="8"/>
        <v>0.5</v>
      </c>
      <c r="AR23" s="328">
        <f t="shared" si="8"/>
        <v>0.24</v>
      </c>
      <c r="AS23" s="328">
        <f t="shared" si="8"/>
        <v>0</v>
      </c>
      <c r="AT23" s="328">
        <f t="shared" si="8"/>
        <v>0.08</v>
      </c>
      <c r="AU23" s="328">
        <f t="shared" si="8"/>
        <v>0.08</v>
      </c>
      <c r="AV23" s="328">
        <f t="shared" si="8"/>
        <v>0.08</v>
      </c>
      <c r="AW23" s="328">
        <f t="shared" si="8"/>
        <v>0.12</v>
      </c>
      <c r="AX23" s="328">
        <f t="shared" si="8"/>
        <v>0.14000000000000001</v>
      </c>
      <c r="AY23" s="328">
        <f t="shared" si="8"/>
        <v>0.3</v>
      </c>
      <c r="AZ23" s="328">
        <f t="shared" si="8"/>
        <v>0.18</v>
      </c>
      <c r="BB23" s="289" t="s">
        <v>188</v>
      </c>
      <c r="BC23" s="328">
        <f t="shared" si="10"/>
        <v>8.5000000000000006E-2</v>
      </c>
      <c r="BD23" s="328">
        <f t="shared" si="9"/>
        <v>0.05</v>
      </c>
      <c r="BE23" s="328">
        <f t="shared" si="9"/>
        <v>0.27500000000000002</v>
      </c>
      <c r="BF23" s="328">
        <f t="shared" si="9"/>
        <v>0.04</v>
      </c>
      <c r="BG23" s="328">
        <f t="shared" si="9"/>
        <v>0.34499999999999997</v>
      </c>
      <c r="BH23" s="328">
        <f t="shared" si="9"/>
        <v>0.125</v>
      </c>
      <c r="BI23" s="328">
        <f t="shared" si="9"/>
        <v>0.06</v>
      </c>
      <c r="BJ23" s="328">
        <f t="shared" si="9"/>
        <v>0</v>
      </c>
      <c r="BK23" s="328">
        <f t="shared" si="9"/>
        <v>0.02</v>
      </c>
      <c r="BL23" s="328">
        <f t="shared" si="9"/>
        <v>0.02</v>
      </c>
      <c r="BM23" s="328">
        <f t="shared" si="9"/>
        <v>0.02</v>
      </c>
      <c r="BN23" s="328">
        <f t="shared" si="9"/>
        <v>0.03</v>
      </c>
      <c r="BO23" s="328">
        <f t="shared" si="9"/>
        <v>3.5000000000000003E-2</v>
      </c>
      <c r="BP23" s="328">
        <f t="shared" si="9"/>
        <v>7.4999999999999997E-2</v>
      </c>
      <c r="BQ23" s="328">
        <f t="shared" si="9"/>
        <v>4.4999999999999998E-2</v>
      </c>
    </row>
    <row r="24" spans="1:69" ht="30" x14ac:dyDescent="0.25">
      <c r="A24" s="279" t="s">
        <v>190</v>
      </c>
      <c r="B24" s="280" t="s">
        <v>191</v>
      </c>
      <c r="C24" s="329" t="s">
        <v>192</v>
      </c>
      <c r="D24" s="313">
        <v>5988</v>
      </c>
      <c r="E24" s="313">
        <v>5205</v>
      </c>
      <c r="F24" s="313">
        <v>7224</v>
      </c>
      <c r="G24" s="313">
        <v>4687</v>
      </c>
      <c r="H24" s="313">
        <v>-53</v>
      </c>
      <c r="I24" s="313">
        <v>225</v>
      </c>
      <c r="J24" s="313">
        <v>-14</v>
      </c>
      <c r="K24" s="313">
        <v>5694</v>
      </c>
      <c r="L24" s="313">
        <v>4715</v>
      </c>
      <c r="M24" s="313">
        <v>3921</v>
      </c>
      <c r="N24" s="313">
        <v>4142</v>
      </c>
      <c r="O24" s="313">
        <v>3378</v>
      </c>
      <c r="P24" s="313">
        <v>4052</v>
      </c>
      <c r="Q24" s="313">
        <v>5023</v>
      </c>
      <c r="R24" s="313">
        <v>3084</v>
      </c>
      <c r="T24" s="289" t="s">
        <v>190</v>
      </c>
      <c r="U24" s="341">
        <v>5906</v>
      </c>
      <c r="V24" s="338">
        <v>5599</v>
      </c>
      <c r="W24" s="338">
        <v>8972</v>
      </c>
      <c r="X24" s="338">
        <v>4766</v>
      </c>
      <c r="Y24" s="338">
        <v>193</v>
      </c>
      <c r="Z24" s="338">
        <v>2662</v>
      </c>
      <c r="AA24" s="338">
        <v>445</v>
      </c>
      <c r="AB24" s="338"/>
      <c r="AC24" s="338">
        <v>4572</v>
      </c>
      <c r="AD24" s="338">
        <v>4572</v>
      </c>
      <c r="AE24" s="338">
        <v>4572</v>
      </c>
      <c r="AF24" s="338">
        <v>3542</v>
      </c>
      <c r="AG24" s="338">
        <v>3997</v>
      </c>
      <c r="AH24" s="338">
        <v>5013</v>
      </c>
      <c r="AI24" s="341">
        <v>2541</v>
      </c>
      <c r="AK24" s="289" t="s">
        <v>190</v>
      </c>
      <c r="AL24" s="336">
        <f>U24+300</f>
        <v>6206</v>
      </c>
      <c r="AM24" s="336">
        <f>V24+300</f>
        <v>5899</v>
      </c>
      <c r="AN24" s="336">
        <f>W24+300</f>
        <v>9272</v>
      </c>
      <c r="AO24" s="336">
        <f t="shared" ref="AO24:AY24" si="11">X24+300</f>
        <v>5066</v>
      </c>
      <c r="AP24" s="336">
        <f t="shared" si="11"/>
        <v>493</v>
      </c>
      <c r="AQ24" s="336">
        <f t="shared" si="11"/>
        <v>2962</v>
      </c>
      <c r="AR24" s="336">
        <f t="shared" si="11"/>
        <v>745</v>
      </c>
      <c r="AS24" s="336">
        <f t="shared" si="11"/>
        <v>300</v>
      </c>
      <c r="AT24" s="336">
        <f t="shared" si="11"/>
        <v>4872</v>
      </c>
      <c r="AU24" s="336">
        <f t="shared" si="11"/>
        <v>4872</v>
      </c>
      <c r="AV24" s="336">
        <f t="shared" si="11"/>
        <v>4872</v>
      </c>
      <c r="AW24" s="336">
        <f t="shared" si="11"/>
        <v>3842</v>
      </c>
      <c r="AX24" s="336">
        <f t="shared" si="11"/>
        <v>4297</v>
      </c>
      <c r="AY24" s="336">
        <f t="shared" si="11"/>
        <v>5313</v>
      </c>
      <c r="AZ24" s="336">
        <f>AI24+300</f>
        <v>2841</v>
      </c>
      <c r="BB24" s="289" t="s">
        <v>190</v>
      </c>
      <c r="BC24" s="341">
        <f>U24-300</f>
        <v>5606</v>
      </c>
      <c r="BD24" s="341">
        <f t="shared" ref="BD24:BQ24" si="12">V24-300</f>
        <v>5299</v>
      </c>
      <c r="BE24" s="341">
        <f t="shared" si="12"/>
        <v>8672</v>
      </c>
      <c r="BF24" s="341">
        <f t="shared" si="12"/>
        <v>4466</v>
      </c>
      <c r="BG24" s="341">
        <f t="shared" si="12"/>
        <v>-107</v>
      </c>
      <c r="BH24" s="341">
        <f t="shared" si="12"/>
        <v>2362</v>
      </c>
      <c r="BI24" s="341">
        <f t="shared" si="12"/>
        <v>145</v>
      </c>
      <c r="BJ24" s="341">
        <f t="shared" si="12"/>
        <v>-300</v>
      </c>
      <c r="BK24" s="341">
        <f t="shared" si="12"/>
        <v>4272</v>
      </c>
      <c r="BL24" s="341">
        <f t="shared" si="12"/>
        <v>4272</v>
      </c>
      <c r="BM24" s="341">
        <f t="shared" si="12"/>
        <v>4272</v>
      </c>
      <c r="BN24" s="341">
        <f t="shared" si="12"/>
        <v>3242</v>
      </c>
      <c r="BO24" s="341">
        <f t="shared" si="12"/>
        <v>3697</v>
      </c>
      <c r="BP24" s="341">
        <f t="shared" si="12"/>
        <v>4713</v>
      </c>
      <c r="BQ24" s="341">
        <f t="shared" si="12"/>
        <v>2241</v>
      </c>
    </row>
    <row r="25" spans="1:69" ht="30" x14ac:dyDescent="0.25">
      <c r="A25" s="279" t="s">
        <v>193</v>
      </c>
      <c r="B25" s="280" t="s">
        <v>164</v>
      </c>
      <c r="C25" s="329" t="s">
        <v>162</v>
      </c>
      <c r="D25" s="309">
        <v>50.6</v>
      </c>
      <c r="E25" s="309">
        <v>50.2</v>
      </c>
      <c r="F25" s="309">
        <v>57.5</v>
      </c>
      <c r="G25" s="309">
        <v>48.6</v>
      </c>
      <c r="H25" s="309">
        <v>0.1</v>
      </c>
      <c r="I25" s="309">
        <v>2.5</v>
      </c>
      <c r="J25" s="309">
        <v>1.1000000000000001</v>
      </c>
      <c r="K25" s="309">
        <v>54.3</v>
      </c>
      <c r="L25" s="309">
        <v>46.2</v>
      </c>
      <c r="M25" s="322">
        <v>43.2</v>
      </c>
      <c r="N25" s="309">
        <v>39.200000000000003</v>
      </c>
      <c r="O25" s="309">
        <v>38</v>
      </c>
      <c r="P25" s="309">
        <v>43.4</v>
      </c>
      <c r="Q25" s="309">
        <v>48.6</v>
      </c>
      <c r="R25" s="309">
        <v>31.8</v>
      </c>
      <c r="T25" s="289" t="s">
        <v>242</v>
      </c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41"/>
      <c r="AK25" s="289" t="s">
        <v>242</v>
      </c>
      <c r="AL25" s="328"/>
      <c r="AM25" s="336"/>
      <c r="AN25" s="336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B25" s="289" t="s">
        <v>242</v>
      </c>
      <c r="BC25" s="328"/>
      <c r="BD25" s="328"/>
      <c r="BE25" s="328"/>
      <c r="BF25" s="328"/>
      <c r="BG25" s="328"/>
      <c r="BH25" s="328"/>
      <c r="BI25" s="328"/>
      <c r="BJ25" s="328"/>
      <c r="BK25" s="328"/>
      <c r="BL25" s="328"/>
      <c r="BM25" s="328"/>
      <c r="BN25" s="328"/>
      <c r="BO25" s="328"/>
      <c r="BP25" s="328"/>
      <c r="BQ25" s="328"/>
    </row>
    <row r="26" spans="1:69" ht="30" x14ac:dyDescent="0.25">
      <c r="A26" s="279" t="s">
        <v>194</v>
      </c>
      <c r="B26" s="280" t="s">
        <v>164</v>
      </c>
      <c r="C26" s="329" t="s">
        <v>162</v>
      </c>
      <c r="D26" s="309">
        <v>7.05</v>
      </c>
      <c r="E26" s="309">
        <v>6.62</v>
      </c>
      <c r="F26" s="309">
        <v>8.51</v>
      </c>
      <c r="G26" s="309">
        <v>5.9</v>
      </c>
      <c r="H26" s="340">
        <v>0.06</v>
      </c>
      <c r="I26" s="309">
        <v>0.35</v>
      </c>
      <c r="J26" s="309">
        <v>0.16</v>
      </c>
      <c r="K26" s="340">
        <v>6.68</v>
      </c>
      <c r="L26" s="309">
        <v>6.03</v>
      </c>
      <c r="M26" s="322">
        <v>5.32</v>
      </c>
      <c r="N26" s="309">
        <v>4.72</v>
      </c>
      <c r="O26" s="309">
        <v>4.71</v>
      </c>
      <c r="P26" s="309">
        <v>5.47</v>
      </c>
      <c r="Q26" s="309">
        <v>6.52</v>
      </c>
      <c r="R26" s="309">
        <v>4.26</v>
      </c>
      <c r="T26" s="289" t="s">
        <v>243</v>
      </c>
      <c r="U26" s="338">
        <v>7.4</v>
      </c>
      <c r="V26" s="338">
        <v>6.1</v>
      </c>
      <c r="W26" s="338">
        <v>10.1</v>
      </c>
      <c r="X26" s="338">
        <v>5.9</v>
      </c>
      <c r="Y26" s="338">
        <v>0.4</v>
      </c>
      <c r="Z26" s="338">
        <v>2</v>
      </c>
      <c r="AA26" s="338">
        <v>1</v>
      </c>
      <c r="AB26" s="338"/>
      <c r="AC26" s="338">
        <v>6.3</v>
      </c>
      <c r="AD26" s="338">
        <v>6.3</v>
      </c>
      <c r="AE26" s="338">
        <v>6.3</v>
      </c>
      <c r="AF26" s="338">
        <v>5</v>
      </c>
      <c r="AG26" s="338">
        <v>5.4</v>
      </c>
      <c r="AH26" s="338">
        <v>6.7</v>
      </c>
      <c r="AI26" s="341">
        <v>3.7</v>
      </c>
      <c r="AK26" s="289" t="s">
        <v>243</v>
      </c>
      <c r="AL26" s="328">
        <f t="shared" ref="AL26:AZ26" si="13">U26+((20/100)*U26)</f>
        <v>8.8800000000000008</v>
      </c>
      <c r="AM26" s="328">
        <f t="shared" si="13"/>
        <v>7.3199999999999994</v>
      </c>
      <c r="AN26" s="328">
        <f t="shared" si="13"/>
        <v>12.12</v>
      </c>
      <c r="AO26" s="328">
        <f t="shared" si="13"/>
        <v>7.08</v>
      </c>
      <c r="AP26" s="328">
        <f t="shared" si="13"/>
        <v>0.48000000000000004</v>
      </c>
      <c r="AQ26" s="328">
        <f t="shared" si="13"/>
        <v>2.4</v>
      </c>
      <c r="AR26" s="328">
        <f t="shared" si="13"/>
        <v>1.2</v>
      </c>
      <c r="AS26" s="328">
        <f t="shared" si="13"/>
        <v>0</v>
      </c>
      <c r="AT26" s="328">
        <f t="shared" si="13"/>
        <v>7.56</v>
      </c>
      <c r="AU26" s="328">
        <f t="shared" si="13"/>
        <v>7.56</v>
      </c>
      <c r="AV26" s="328">
        <f t="shared" si="13"/>
        <v>7.56</v>
      </c>
      <c r="AW26" s="328">
        <f t="shared" si="13"/>
        <v>6</v>
      </c>
      <c r="AX26" s="328">
        <f t="shared" si="13"/>
        <v>6.48</v>
      </c>
      <c r="AY26" s="328">
        <f t="shared" si="13"/>
        <v>8.0400000000000009</v>
      </c>
      <c r="AZ26" s="328">
        <f t="shared" si="13"/>
        <v>4.4400000000000004</v>
      </c>
      <c r="BB26" s="289" t="s">
        <v>243</v>
      </c>
      <c r="BC26" s="331">
        <f t="shared" ref="BC26:BQ26" si="14">U26-((20/100)*U26)</f>
        <v>5.92</v>
      </c>
      <c r="BD26" s="331">
        <f t="shared" si="14"/>
        <v>4.88</v>
      </c>
      <c r="BE26" s="331">
        <f t="shared" si="14"/>
        <v>8.08</v>
      </c>
      <c r="BF26" s="331">
        <f t="shared" si="14"/>
        <v>4.7200000000000006</v>
      </c>
      <c r="BG26" s="331">
        <f t="shared" si="14"/>
        <v>0.32</v>
      </c>
      <c r="BH26" s="331">
        <f t="shared" si="14"/>
        <v>1.6</v>
      </c>
      <c r="BI26" s="331">
        <f t="shared" si="14"/>
        <v>0.8</v>
      </c>
      <c r="BJ26" s="331">
        <f t="shared" si="14"/>
        <v>0</v>
      </c>
      <c r="BK26" s="331">
        <f t="shared" si="14"/>
        <v>5.04</v>
      </c>
      <c r="BL26" s="331">
        <f t="shared" si="14"/>
        <v>5.04</v>
      </c>
      <c r="BM26" s="331">
        <f t="shared" si="14"/>
        <v>5.04</v>
      </c>
      <c r="BN26" s="331">
        <f t="shared" si="14"/>
        <v>4</v>
      </c>
      <c r="BO26" s="331">
        <f t="shared" si="14"/>
        <v>4.32</v>
      </c>
      <c r="BP26" s="331">
        <f t="shared" si="14"/>
        <v>5.36</v>
      </c>
      <c r="BQ26" s="331">
        <f t="shared" si="14"/>
        <v>2.96</v>
      </c>
    </row>
    <row r="27" spans="1:69" ht="24.75" customHeight="1" x14ac:dyDescent="0.25">
      <c r="A27" s="279" t="s">
        <v>213</v>
      </c>
      <c r="B27" s="342" t="s">
        <v>191</v>
      </c>
      <c r="C27" s="329" t="s">
        <v>192</v>
      </c>
      <c r="D27" s="313">
        <v>5641</v>
      </c>
      <c r="E27" s="313">
        <v>4879</v>
      </c>
      <c r="F27" s="313">
        <v>6805</v>
      </c>
      <c r="G27" s="313">
        <v>4397</v>
      </c>
      <c r="H27" s="313">
        <v>-56</v>
      </c>
      <c r="I27" s="313">
        <v>207.78</v>
      </c>
      <c r="J27" s="313">
        <v>-22</v>
      </c>
      <c r="K27" s="313">
        <v>5365</v>
      </c>
      <c r="L27" s="313">
        <v>4418</v>
      </c>
      <c r="M27" s="313">
        <v>3659</v>
      </c>
      <c r="N27" s="313">
        <v>3910</v>
      </c>
      <c r="O27" s="313">
        <v>3146</v>
      </c>
      <c r="P27" s="313">
        <v>3783</v>
      </c>
      <c r="Q27" s="313">
        <v>4702</v>
      </c>
      <c r="R27" s="313">
        <v>2874</v>
      </c>
      <c r="T27" s="289" t="s">
        <v>213</v>
      </c>
      <c r="U27" s="338">
        <v>5545</v>
      </c>
      <c r="V27" s="338">
        <v>5289</v>
      </c>
      <c r="W27" s="338">
        <v>8477</v>
      </c>
      <c r="X27" s="338">
        <v>4478</v>
      </c>
      <c r="Y27" s="338">
        <v>171</v>
      </c>
      <c r="Z27" s="338">
        <v>2562</v>
      </c>
      <c r="AA27" s="338">
        <v>395</v>
      </c>
      <c r="AB27" s="338"/>
      <c r="AC27" s="338">
        <v>4276</v>
      </c>
      <c r="AD27" s="338">
        <v>4276</v>
      </c>
      <c r="AE27" s="338">
        <v>4276</v>
      </c>
      <c r="AF27" s="338">
        <v>3294</v>
      </c>
      <c r="AG27" s="338">
        <v>3729</v>
      </c>
      <c r="AH27" s="338">
        <v>4645</v>
      </c>
      <c r="AI27" s="341">
        <v>2360</v>
      </c>
      <c r="AK27" s="289" t="s">
        <v>213</v>
      </c>
      <c r="AL27" s="336">
        <f>U27+300</f>
        <v>5845</v>
      </c>
      <c r="AM27" s="336">
        <f t="shared" ref="AM27:AZ27" si="15">V27+300</f>
        <v>5589</v>
      </c>
      <c r="AN27" s="336">
        <f t="shared" si="15"/>
        <v>8777</v>
      </c>
      <c r="AO27" s="336">
        <f t="shared" si="15"/>
        <v>4778</v>
      </c>
      <c r="AP27" s="336">
        <f t="shared" si="15"/>
        <v>471</v>
      </c>
      <c r="AQ27" s="336">
        <f t="shared" si="15"/>
        <v>2862</v>
      </c>
      <c r="AR27" s="336">
        <f t="shared" si="15"/>
        <v>695</v>
      </c>
      <c r="AS27" s="336">
        <f t="shared" si="15"/>
        <v>300</v>
      </c>
      <c r="AT27" s="336">
        <f t="shared" si="15"/>
        <v>4576</v>
      </c>
      <c r="AU27" s="336">
        <f t="shared" si="15"/>
        <v>4576</v>
      </c>
      <c r="AV27" s="336">
        <f t="shared" si="15"/>
        <v>4576</v>
      </c>
      <c r="AW27" s="336">
        <f t="shared" si="15"/>
        <v>3594</v>
      </c>
      <c r="AX27" s="336">
        <f t="shared" si="15"/>
        <v>4029</v>
      </c>
      <c r="AY27" s="336">
        <f t="shared" si="15"/>
        <v>4945</v>
      </c>
      <c r="AZ27" s="336">
        <f t="shared" si="15"/>
        <v>2660</v>
      </c>
      <c r="BB27" s="289" t="s">
        <v>213</v>
      </c>
      <c r="BC27" s="341">
        <f t="shared" ref="BC27:BQ27" si="16">U27-300</f>
        <v>5245</v>
      </c>
      <c r="BD27" s="341">
        <f t="shared" si="16"/>
        <v>4989</v>
      </c>
      <c r="BE27" s="341">
        <f t="shared" si="16"/>
        <v>8177</v>
      </c>
      <c r="BF27" s="341">
        <f t="shared" si="16"/>
        <v>4178</v>
      </c>
      <c r="BG27" s="341">
        <f t="shared" si="16"/>
        <v>-129</v>
      </c>
      <c r="BH27" s="341">
        <f t="shared" si="16"/>
        <v>2262</v>
      </c>
      <c r="BI27" s="341">
        <f t="shared" si="16"/>
        <v>95</v>
      </c>
      <c r="BJ27" s="341">
        <f t="shared" si="16"/>
        <v>-300</v>
      </c>
      <c r="BK27" s="341">
        <f t="shared" si="16"/>
        <v>3976</v>
      </c>
      <c r="BL27" s="341">
        <f t="shared" si="16"/>
        <v>3976</v>
      </c>
      <c r="BM27" s="341">
        <f t="shared" si="16"/>
        <v>3976</v>
      </c>
      <c r="BN27" s="341">
        <f t="shared" si="16"/>
        <v>2994</v>
      </c>
      <c r="BO27" s="341">
        <f t="shared" si="16"/>
        <v>3429</v>
      </c>
      <c r="BP27" s="341">
        <f t="shared" si="16"/>
        <v>4345</v>
      </c>
      <c r="BQ27" s="341">
        <f t="shared" si="16"/>
        <v>2060</v>
      </c>
    </row>
    <row r="28" spans="1:69" x14ac:dyDescent="0.25"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</row>
    <row r="29" spans="1:69" x14ac:dyDescent="0.25">
      <c r="E29" s="343"/>
    </row>
    <row r="30" spans="1:69" x14ac:dyDescent="0.25">
      <c r="D30" s="590"/>
      <c r="E30" s="590"/>
    </row>
  </sheetData>
  <mergeCells count="14">
    <mergeCell ref="B12:B14"/>
    <mergeCell ref="D30:E30"/>
    <mergeCell ref="D1:G1"/>
    <mergeCell ref="H1:K1"/>
    <mergeCell ref="L1:O1"/>
    <mergeCell ref="P1:R1"/>
    <mergeCell ref="D2:G2"/>
    <mergeCell ref="H2:K2"/>
    <mergeCell ref="L2:O2"/>
    <mergeCell ref="P2:R2"/>
    <mergeCell ref="D3:G3"/>
    <mergeCell ref="H3:K3"/>
    <mergeCell ref="L3:O3"/>
    <mergeCell ref="P3:R3"/>
  </mergeCells>
  <conditionalFormatting sqref="D10:J10 L10:P10 R10 D11:R11">
    <cfRule type="cellIs" dxfId="89" priority="49" operator="lessThan">
      <formula>BC10</formula>
    </cfRule>
    <cfRule type="cellIs" dxfId="88" priority="50" operator="greaterThan">
      <formula>AL10</formula>
    </cfRule>
  </conditionalFormatting>
  <conditionalFormatting sqref="D9:J9 L9:P9 R9">
    <cfRule type="cellIs" dxfId="87" priority="47" operator="lessThan">
      <formula>BC9</formula>
    </cfRule>
    <cfRule type="cellIs" dxfId="86" priority="48" operator="greaterThan">
      <formula>AL9</formula>
    </cfRule>
  </conditionalFormatting>
  <conditionalFormatting sqref="D12:J13 L12:P13 F14 I14 M14:O14 R12:R14">
    <cfRule type="cellIs" dxfId="85" priority="45" operator="lessThan">
      <formula>BC12</formula>
    </cfRule>
    <cfRule type="cellIs" dxfId="84" priority="46" operator="greaterThan">
      <formula>AL12</formula>
    </cfRule>
  </conditionalFormatting>
  <conditionalFormatting sqref="D16:J16 L16:P16 L18:P23 M17:N17 D18:J23 D17:I17 P17 R16:R23">
    <cfRule type="cellIs" dxfId="83" priority="43" operator="lessThan">
      <formula>BC16</formula>
    </cfRule>
    <cfRule type="cellIs" dxfId="82" priority="44" operator="greaterThan">
      <formula>AL16</formula>
    </cfRule>
  </conditionalFormatting>
  <conditionalFormatting sqref="D26:J26 L26:P26 R26">
    <cfRule type="cellIs" dxfId="81" priority="41" operator="lessThan">
      <formula>BC26</formula>
    </cfRule>
    <cfRule type="cellIs" dxfId="80" priority="42" operator="greaterThan">
      <formula>AL26</formula>
    </cfRule>
  </conditionalFormatting>
  <conditionalFormatting sqref="D24:J24 L24:P24 R24">
    <cfRule type="cellIs" dxfId="79" priority="39" operator="lessThan">
      <formula>BC24</formula>
    </cfRule>
    <cfRule type="cellIs" dxfId="78" priority="40" operator="greaterThan">
      <formula>AL24</formula>
    </cfRule>
  </conditionalFormatting>
  <conditionalFormatting sqref="J17:L17">
    <cfRule type="cellIs" dxfId="77" priority="37" operator="lessThan">
      <formula>BI17</formula>
    </cfRule>
    <cfRule type="cellIs" dxfId="76" priority="38" operator="greaterThan">
      <formula>AR17</formula>
    </cfRule>
  </conditionalFormatting>
  <conditionalFormatting sqref="O17">
    <cfRule type="cellIs" dxfId="75" priority="35" operator="lessThan">
      <formula>BN17</formula>
    </cfRule>
    <cfRule type="cellIs" dxfId="74" priority="36" operator="greaterThan">
      <formula>AW17</formula>
    </cfRule>
  </conditionalFormatting>
  <conditionalFormatting sqref="D14:E14">
    <cfRule type="cellIs" dxfId="73" priority="33" operator="lessThan">
      <formula>BC14</formula>
    </cfRule>
    <cfRule type="cellIs" dxfId="72" priority="34" operator="greaterThan">
      <formula>AL14</formula>
    </cfRule>
  </conditionalFormatting>
  <conditionalFormatting sqref="G14:H14">
    <cfRule type="cellIs" dxfId="71" priority="31" operator="lessThan">
      <formula>BF14</formula>
    </cfRule>
    <cfRule type="cellIs" dxfId="70" priority="32" operator="greaterThan">
      <formula>AO14</formula>
    </cfRule>
  </conditionalFormatting>
  <conditionalFormatting sqref="J14">
    <cfRule type="cellIs" dxfId="69" priority="29" operator="lessThan">
      <formula>BI14</formula>
    </cfRule>
    <cfRule type="cellIs" dxfId="68" priority="30" operator="greaterThan">
      <formula>AR14</formula>
    </cfRule>
  </conditionalFormatting>
  <conditionalFormatting sqref="L14">
    <cfRule type="cellIs" dxfId="67" priority="27" operator="lessThan">
      <formula>BK14</formula>
    </cfRule>
    <cfRule type="cellIs" dxfId="66" priority="28" operator="greaterThan">
      <formula>AT14</formula>
    </cfRule>
  </conditionalFormatting>
  <conditionalFormatting sqref="P14">
    <cfRule type="cellIs" dxfId="65" priority="25" operator="lessThan">
      <formula>BO14</formula>
    </cfRule>
    <cfRule type="cellIs" dxfId="64" priority="26" operator="greaterThan">
      <formula>AX14</formula>
    </cfRule>
  </conditionalFormatting>
  <conditionalFormatting sqref="D5:J5">
    <cfRule type="cellIs" dxfId="63" priority="23" operator="lessThan">
      <formula>BC5</formula>
    </cfRule>
    <cfRule type="cellIs" dxfId="62" priority="24" operator="greaterThan">
      <formula>AL5</formula>
    </cfRule>
  </conditionalFormatting>
  <conditionalFormatting sqref="L5:P5 R5">
    <cfRule type="cellIs" dxfId="61" priority="21" operator="lessThan">
      <formula>BK5</formula>
    </cfRule>
    <cfRule type="cellIs" dxfId="60" priority="22" operator="greaterThan">
      <formula>AT5</formula>
    </cfRule>
  </conditionalFormatting>
  <conditionalFormatting sqref="D27:P27 R27">
    <cfRule type="cellIs" dxfId="59" priority="19" operator="lessThan">
      <formula>BC27</formula>
    </cfRule>
    <cfRule type="cellIs" dxfId="58" priority="20" operator="greaterThan">
      <formula>AL27</formula>
    </cfRule>
  </conditionalFormatting>
  <conditionalFormatting sqref="Q10">
    <cfRule type="cellIs" dxfId="57" priority="17" operator="lessThan">
      <formula>BP10</formula>
    </cfRule>
    <cfRule type="cellIs" dxfId="56" priority="18" operator="greaterThan">
      <formula>AY10</formula>
    </cfRule>
  </conditionalFormatting>
  <conditionalFormatting sqref="Q9">
    <cfRule type="cellIs" dxfId="55" priority="15" operator="lessThan">
      <formula>BP9</formula>
    </cfRule>
    <cfRule type="cellIs" dxfId="54" priority="16" operator="greaterThan">
      <formula>AY9</formula>
    </cfRule>
  </conditionalFormatting>
  <conditionalFormatting sqref="Q5">
    <cfRule type="cellIs" dxfId="53" priority="13" operator="lessThan">
      <formula>BP5</formula>
    </cfRule>
    <cfRule type="cellIs" dxfId="52" priority="14" operator="greaterThan">
      <formula>AY5</formula>
    </cfRule>
  </conditionalFormatting>
  <conditionalFormatting sqref="Q12:Q13">
    <cfRule type="cellIs" dxfId="51" priority="11" operator="lessThan">
      <formula>BP12</formula>
    </cfRule>
    <cfRule type="cellIs" dxfId="50" priority="12" operator="greaterThan">
      <formula>AY12</formula>
    </cfRule>
  </conditionalFormatting>
  <conditionalFormatting sqref="Q16:Q23">
    <cfRule type="cellIs" dxfId="49" priority="9" operator="lessThan">
      <formula>BP16</formula>
    </cfRule>
    <cfRule type="cellIs" dxfId="48" priority="10" operator="greaterThan">
      <formula>AY16</formula>
    </cfRule>
  </conditionalFormatting>
  <conditionalFormatting sqref="Q26">
    <cfRule type="cellIs" dxfId="47" priority="7" operator="lessThan">
      <formula>BP26</formula>
    </cfRule>
    <cfRule type="cellIs" dxfId="46" priority="8" operator="greaterThan">
      <formula>AY26</formula>
    </cfRule>
  </conditionalFormatting>
  <conditionalFormatting sqref="Q24">
    <cfRule type="cellIs" dxfId="45" priority="5" operator="lessThan">
      <formula>BP24</formula>
    </cfRule>
    <cfRule type="cellIs" dxfId="44" priority="6" operator="greaterThan">
      <formula>AY24</formula>
    </cfRule>
  </conditionalFormatting>
  <conditionalFormatting sqref="Q14">
    <cfRule type="cellIs" dxfId="43" priority="3" operator="lessThan">
      <formula>BP14</formula>
    </cfRule>
    <cfRule type="cellIs" dxfId="42" priority="4" operator="greaterThan">
      <formula>AY14</formula>
    </cfRule>
  </conditionalFormatting>
  <conditionalFormatting sqref="Q27">
    <cfRule type="cellIs" dxfId="41" priority="1" operator="lessThan">
      <formula>BP27</formula>
    </cfRule>
    <cfRule type="cellIs" dxfId="40" priority="2" operator="greaterThan">
      <formula>AY27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Width="0" orientation="portrait" horizontalDpi="4294967294" r:id="rId1"/>
  <headerFooter alignWithMargins="0">
    <oddFooter>&amp;L&amp;"Rockwell,Gras"&amp;P/&amp;N&amp;C&amp;"Rockwell,Gras"&amp;D&amp;R&amp;"Rockwell,Gras"&amp;F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42"/>
  <sheetViews>
    <sheetView topLeftCell="A16" zoomScale="80" zoomScaleNormal="80" workbookViewId="0">
      <selection activeCell="O13" sqref="O13"/>
    </sheetView>
  </sheetViews>
  <sheetFormatPr baseColWidth="10" defaultRowHeight="15" x14ac:dyDescent="0.25"/>
  <cols>
    <col min="1" max="1" width="11.42578125" style="266"/>
    <col min="2" max="2" width="26.140625" style="266" bestFit="1" customWidth="1"/>
    <col min="3" max="3" width="18.7109375" style="266" bestFit="1" customWidth="1"/>
    <col min="4" max="4" width="22.85546875" style="266" customWidth="1"/>
    <col min="5" max="5" width="14" style="266" customWidth="1"/>
    <col min="6" max="7" width="13.140625" style="266" customWidth="1"/>
    <col min="8" max="8" width="13.85546875" style="266" customWidth="1"/>
    <col min="9" max="16384" width="11.42578125" style="267"/>
  </cols>
  <sheetData>
    <row r="1" spans="1:10" ht="24.95" customHeight="1" x14ac:dyDescent="0.25">
      <c r="B1" s="580" t="s">
        <v>244</v>
      </c>
      <c r="C1" s="580"/>
      <c r="D1" s="580"/>
      <c r="E1" s="580"/>
      <c r="F1" s="580"/>
      <c r="G1" s="345"/>
      <c r="H1" s="345"/>
    </row>
    <row r="2" spans="1:10" ht="24.95" customHeight="1" x14ac:dyDescent="0.25">
      <c r="B2" s="581" t="s">
        <v>226</v>
      </c>
      <c r="C2" s="581"/>
      <c r="D2" s="581"/>
      <c r="E2" s="581"/>
      <c r="F2" s="581"/>
      <c r="G2" s="345"/>
      <c r="H2" s="345"/>
    </row>
    <row r="3" spans="1:10" ht="24.95" customHeight="1" x14ac:dyDescent="0.25">
      <c r="B3" s="582" t="s">
        <v>245</v>
      </c>
      <c r="C3" s="582"/>
      <c r="D3" s="582"/>
      <c r="E3" s="582"/>
      <c r="F3" s="582"/>
      <c r="G3" s="345"/>
      <c r="H3" s="345"/>
    </row>
    <row r="4" spans="1:10" s="348" customFormat="1" ht="24.95" customHeight="1" x14ac:dyDescent="0.25">
      <c r="A4" s="346"/>
      <c r="B4" s="271"/>
      <c r="C4" s="272" t="s">
        <v>246</v>
      </c>
      <c r="D4" s="272" t="s">
        <v>247</v>
      </c>
      <c r="E4" s="272" t="s">
        <v>248</v>
      </c>
      <c r="F4" s="272" t="s">
        <v>249</v>
      </c>
      <c r="G4" s="347"/>
      <c r="H4" s="347"/>
    </row>
    <row r="5" spans="1:10" ht="24.95" customHeight="1" x14ac:dyDescent="0.25">
      <c r="B5" s="271" t="s">
        <v>250</v>
      </c>
      <c r="C5" s="349">
        <v>49.5</v>
      </c>
      <c r="D5" s="350">
        <v>6.62</v>
      </c>
      <c r="E5" s="351">
        <v>5229</v>
      </c>
      <c r="F5" s="351">
        <v>4903</v>
      </c>
      <c r="G5" s="352"/>
      <c r="H5" s="353"/>
      <c r="J5" s="354"/>
    </row>
    <row r="6" spans="1:10" ht="24.95" customHeight="1" x14ac:dyDescent="0.25">
      <c r="B6" s="271" t="s">
        <v>251</v>
      </c>
      <c r="C6" s="349">
        <v>47.2</v>
      </c>
      <c r="D6" s="350">
        <v>6.39</v>
      </c>
      <c r="E6" s="351">
        <v>4806</v>
      </c>
      <c r="F6" s="351">
        <v>4492</v>
      </c>
      <c r="G6" s="352"/>
      <c r="H6" s="353"/>
      <c r="J6" s="354"/>
    </row>
    <row r="7" spans="1:10" ht="24.95" customHeight="1" x14ac:dyDescent="0.25">
      <c r="B7" s="271" t="s">
        <v>252</v>
      </c>
      <c r="C7" s="349">
        <v>44.4</v>
      </c>
      <c r="D7" s="350">
        <v>5.78</v>
      </c>
      <c r="E7" s="351">
        <v>4583</v>
      </c>
      <c r="F7" s="351">
        <v>4299</v>
      </c>
      <c r="G7" s="352"/>
      <c r="H7" s="353"/>
      <c r="J7" s="354"/>
    </row>
    <row r="8" spans="1:10" ht="24.95" customHeight="1" x14ac:dyDescent="0.25">
      <c r="B8" s="271" t="s">
        <v>253</v>
      </c>
      <c r="C8" s="349">
        <v>44.1</v>
      </c>
      <c r="D8" s="350">
        <v>5.84</v>
      </c>
      <c r="E8" s="351">
        <v>4427</v>
      </c>
      <c r="F8" s="351">
        <v>4140</v>
      </c>
      <c r="G8" s="352"/>
      <c r="H8" s="353"/>
      <c r="J8" s="354"/>
    </row>
    <row r="9" spans="1:10" ht="24.95" customHeight="1" x14ac:dyDescent="0.25">
      <c r="B9" s="271" t="s">
        <v>254</v>
      </c>
      <c r="C9" s="349">
        <v>44.4</v>
      </c>
      <c r="D9" s="350">
        <v>5.93</v>
      </c>
      <c r="E9" s="351">
        <v>4357</v>
      </c>
      <c r="F9" s="351">
        <v>4065</v>
      </c>
      <c r="G9" s="352"/>
      <c r="H9" s="353"/>
      <c r="J9" s="354"/>
    </row>
    <row r="10" spans="1:10" ht="24.95" customHeight="1" x14ac:dyDescent="0.25">
      <c r="B10" s="271" t="s">
        <v>255</v>
      </c>
      <c r="C10" s="349">
        <v>44.2</v>
      </c>
      <c r="D10" s="350">
        <v>5.96</v>
      </c>
      <c r="E10" s="351">
        <v>4549</v>
      </c>
      <c r="F10" s="351">
        <v>4256</v>
      </c>
      <c r="G10" s="352"/>
      <c r="H10" s="353"/>
      <c r="J10" s="354"/>
    </row>
    <row r="11" spans="1:10" ht="24.95" customHeight="1" x14ac:dyDescent="0.25">
      <c r="B11" s="271" t="s">
        <v>256</v>
      </c>
      <c r="C11" s="349">
        <v>47.4</v>
      </c>
      <c r="D11" s="350">
        <v>6.43</v>
      </c>
      <c r="E11" s="351">
        <v>4924</v>
      </c>
      <c r="F11" s="351">
        <v>4608</v>
      </c>
      <c r="G11" s="352"/>
      <c r="H11" s="353"/>
      <c r="J11" s="354"/>
    </row>
    <row r="12" spans="1:10" ht="24.95" customHeight="1" x14ac:dyDescent="0.25">
      <c r="B12" s="271" t="s">
        <v>257</v>
      </c>
      <c r="C12" s="349">
        <v>45.3</v>
      </c>
      <c r="D12" s="350">
        <v>6.04</v>
      </c>
      <c r="E12" s="351">
        <v>4618</v>
      </c>
      <c r="F12" s="351">
        <v>4321</v>
      </c>
      <c r="G12" s="352"/>
      <c r="H12" s="353"/>
      <c r="J12" s="354"/>
    </row>
    <row r="13" spans="1:10" ht="24.95" customHeight="1" x14ac:dyDescent="0.25"/>
    <row r="14" spans="1:10" ht="24.95" customHeight="1" x14ac:dyDescent="0.25">
      <c r="B14" s="591" t="s">
        <v>244</v>
      </c>
      <c r="C14" s="592"/>
      <c r="D14" s="592"/>
      <c r="E14" s="592"/>
      <c r="F14" s="593"/>
    </row>
    <row r="15" spans="1:10" ht="24.95" customHeight="1" x14ac:dyDescent="0.25">
      <c r="B15" s="594" t="str">
        <f>B2</f>
        <v>Campagne : Hiver 2015</v>
      </c>
      <c r="C15" s="595"/>
      <c r="D15" s="595"/>
      <c r="E15" s="595"/>
      <c r="F15" s="596"/>
    </row>
    <row r="16" spans="1:10" ht="24.95" customHeight="1" x14ac:dyDescent="0.25">
      <c r="B16" s="597" t="s">
        <v>258</v>
      </c>
      <c r="C16" s="598"/>
      <c r="D16" s="598"/>
      <c r="E16" s="598"/>
      <c r="F16" s="599"/>
    </row>
    <row r="17" spans="2:9" ht="24.95" customHeight="1" x14ac:dyDescent="0.25">
      <c r="B17" s="271"/>
      <c r="C17" s="272" t="s">
        <v>246</v>
      </c>
      <c r="D17" s="272" t="s">
        <v>247</v>
      </c>
      <c r="E17" s="272" t="s">
        <v>248</v>
      </c>
      <c r="F17" s="272" t="s">
        <v>249</v>
      </c>
    </row>
    <row r="18" spans="2:9" ht="24.95" customHeight="1" x14ac:dyDescent="0.25">
      <c r="B18" s="271" t="s">
        <v>86</v>
      </c>
      <c r="C18" s="355">
        <v>0.81</v>
      </c>
      <c r="D18" s="284">
        <v>0.14299999999999999</v>
      </c>
      <c r="E18" s="285">
        <v>18.946000000000002</v>
      </c>
      <c r="F18" s="285">
        <v>11.863199999999999</v>
      </c>
    </row>
    <row r="19" spans="2:9" ht="24.95" customHeight="1" x14ac:dyDescent="0.25"/>
    <row r="20" spans="2:9" ht="24.95" customHeight="1" x14ac:dyDescent="0.25">
      <c r="B20" s="580" t="s">
        <v>244</v>
      </c>
      <c r="C20" s="580"/>
      <c r="D20" s="580"/>
      <c r="E20" s="580"/>
      <c r="F20" s="580"/>
      <c r="G20" s="580"/>
      <c r="H20" s="580"/>
    </row>
    <row r="21" spans="2:9" ht="24.95" customHeight="1" x14ac:dyDescent="0.25">
      <c r="B21" s="581" t="str">
        <f>B15</f>
        <v>Campagne : Hiver 2015</v>
      </c>
      <c r="C21" s="581"/>
      <c r="D21" s="581"/>
      <c r="E21" s="581"/>
      <c r="F21" s="581"/>
      <c r="G21" s="581"/>
      <c r="H21" s="581"/>
    </row>
    <row r="22" spans="2:9" ht="24.95" customHeight="1" x14ac:dyDescent="0.25">
      <c r="B22" s="582" t="s">
        <v>259</v>
      </c>
      <c r="C22" s="582"/>
      <c r="D22" s="582"/>
      <c r="E22" s="582"/>
      <c r="F22" s="582"/>
      <c r="G22" s="582"/>
      <c r="H22" s="582"/>
    </row>
    <row r="23" spans="2:9" ht="24.95" customHeight="1" x14ac:dyDescent="0.25">
      <c r="B23" s="271"/>
      <c r="C23" s="272" t="s">
        <v>246</v>
      </c>
      <c r="D23" s="272" t="s">
        <v>247</v>
      </c>
      <c r="E23" s="272" t="s">
        <v>248</v>
      </c>
      <c r="F23" s="272" t="s">
        <v>249</v>
      </c>
      <c r="G23" s="272" t="s">
        <v>260</v>
      </c>
      <c r="H23" s="272" t="s">
        <v>261</v>
      </c>
    </row>
    <row r="24" spans="2:9" ht="24.95" customHeight="1" x14ac:dyDescent="0.25">
      <c r="B24" s="271" t="str">
        <f>B5</f>
        <v>ISS_H15 PC PAR</v>
      </c>
      <c r="C24" s="282">
        <v>43.803269999999998</v>
      </c>
      <c r="D24" s="284">
        <v>5.8621910000000002</v>
      </c>
      <c r="E24" s="285">
        <v>4619.4236820000006</v>
      </c>
      <c r="F24" s="285">
        <v>4331.0038848000004</v>
      </c>
      <c r="G24" s="356">
        <v>40.5</v>
      </c>
      <c r="H24" s="285">
        <v>2354.1973114560005</v>
      </c>
      <c r="I24" s="357"/>
    </row>
    <row r="25" spans="2:9" ht="24.95" customHeight="1" x14ac:dyDescent="0.25">
      <c r="B25" s="271" t="str">
        <f t="shared" ref="B25:B31" si="0">B6</f>
        <v>ISS_H15 PC BAN</v>
      </c>
      <c r="C25" s="282">
        <v>41.076520000000002</v>
      </c>
      <c r="D25" s="284">
        <v>5.5653959999999998</v>
      </c>
      <c r="E25" s="285">
        <v>4174.1088719999998</v>
      </c>
      <c r="F25" s="285">
        <v>3900.2913887999998</v>
      </c>
      <c r="G25" s="356">
        <v>43.7</v>
      </c>
      <c r="H25" s="285">
        <v>1955.5140518943999</v>
      </c>
      <c r="I25" s="357"/>
    </row>
    <row r="26" spans="2:9" ht="24.95" customHeight="1" x14ac:dyDescent="0.25">
      <c r="B26" s="271" t="str">
        <f t="shared" si="0"/>
        <v>STO_H15  PC PAR</v>
      </c>
      <c r="C26" s="282">
        <v>38.820479999999996</v>
      </c>
      <c r="D26" s="284">
        <v>5.0584639999999998</v>
      </c>
      <c r="E26" s="285">
        <v>3998.8010880000002</v>
      </c>
      <c r="F26" s="285">
        <v>3749.9246592</v>
      </c>
      <c r="G26" s="356">
        <v>39</v>
      </c>
      <c r="H26" s="285">
        <v>2072.954042112</v>
      </c>
      <c r="I26" s="357"/>
    </row>
    <row r="27" spans="2:9" ht="24.95" customHeight="1" x14ac:dyDescent="0.25">
      <c r="B27" s="271" t="str">
        <f t="shared" si="0"/>
        <v>STO_H15  PC BAN</v>
      </c>
      <c r="C27" s="282">
        <v>39.467970000000001</v>
      </c>
      <c r="D27" s="284">
        <v>5.2304209999999998</v>
      </c>
      <c r="E27" s="285">
        <v>3955.3382220000003</v>
      </c>
      <c r="F27" s="285">
        <v>3698.0015088000005</v>
      </c>
      <c r="G27" s="356">
        <v>36.9</v>
      </c>
      <c r="H27" s="285">
        <v>2130.4889520528004</v>
      </c>
      <c r="I27" s="357"/>
    </row>
    <row r="28" spans="2:9" ht="24.95" customHeight="1" x14ac:dyDescent="0.25">
      <c r="B28" s="271" t="str">
        <f t="shared" si="0"/>
        <v>ROM_H15  PC PAR</v>
      </c>
      <c r="C28" s="282">
        <v>39.169199999999996</v>
      </c>
      <c r="D28" s="284">
        <v>5.2355599999999995</v>
      </c>
      <c r="E28" s="285">
        <v>3836.43352</v>
      </c>
      <c r="F28" s="285">
        <v>3578.8439680000001</v>
      </c>
      <c r="G28" s="356">
        <v>41.1</v>
      </c>
      <c r="H28" s="285">
        <v>1881.8890971519997</v>
      </c>
      <c r="I28" s="357"/>
    </row>
    <row r="29" spans="2:9" ht="24.95" customHeight="1" x14ac:dyDescent="0.25">
      <c r="B29" s="271" t="str">
        <f t="shared" si="0"/>
        <v>ROM_H15  PC BAN</v>
      </c>
      <c r="C29" s="282">
        <v>41.726769999999995</v>
      </c>
      <c r="D29" s="284">
        <v>5.6284309999999991</v>
      </c>
      <c r="E29" s="285">
        <v>4290.7869219999993</v>
      </c>
      <c r="F29" s="285">
        <v>4013.8681167999994</v>
      </c>
      <c r="G29" s="356">
        <v>31.6</v>
      </c>
      <c r="H29" s="285">
        <v>2571.6857918911996</v>
      </c>
      <c r="I29" s="357"/>
    </row>
    <row r="30" spans="2:9" ht="24.95" customHeight="1" x14ac:dyDescent="0.25">
      <c r="B30" s="271" t="str">
        <f t="shared" si="0"/>
        <v>IV13_H15  PC PAR</v>
      </c>
      <c r="C30" s="282">
        <v>42.22851</v>
      </c>
      <c r="D30" s="284">
        <v>5.7321429999999998</v>
      </c>
      <c r="E30" s="285">
        <v>4379.539006</v>
      </c>
      <c r="F30" s="285">
        <v>4097.5175704000003</v>
      </c>
      <c r="G30" s="356">
        <v>39.799999999999997</v>
      </c>
      <c r="H30" s="285">
        <v>2247.8055773808005</v>
      </c>
      <c r="I30" s="357"/>
    </row>
    <row r="31" spans="2:9" ht="24.95" customHeight="1" x14ac:dyDescent="0.25">
      <c r="B31" s="271" t="str">
        <f t="shared" si="0"/>
        <v>IV13_H15  PC BAN</v>
      </c>
      <c r="C31" s="282">
        <v>35.378729999999997</v>
      </c>
      <c r="D31" s="284">
        <v>4.7249689999999998</v>
      </c>
      <c r="E31" s="285">
        <v>3592.4109579999999</v>
      </c>
      <c r="F31" s="285">
        <v>3359.9424832</v>
      </c>
      <c r="G31" s="356">
        <v>43.8</v>
      </c>
      <c r="H31" s="285">
        <v>1647.3876755584001</v>
      </c>
      <c r="I31" s="357"/>
    </row>
    <row r="33" spans="6:7" x14ac:dyDescent="0.25">
      <c r="F33" s="358"/>
      <c r="G33" s="293"/>
    </row>
    <row r="34" spans="6:7" x14ac:dyDescent="0.25">
      <c r="F34" s="358"/>
      <c r="G34" s="293"/>
    </row>
    <row r="35" spans="6:7" x14ac:dyDescent="0.25">
      <c r="F35" s="358"/>
      <c r="G35" s="293"/>
    </row>
    <row r="36" spans="6:7" x14ac:dyDescent="0.25">
      <c r="F36" s="358"/>
      <c r="G36" s="293"/>
    </row>
    <row r="37" spans="6:7" x14ac:dyDescent="0.25">
      <c r="F37" s="358"/>
      <c r="G37" s="293"/>
    </row>
    <row r="38" spans="6:7" x14ac:dyDescent="0.25">
      <c r="F38" s="358"/>
      <c r="G38" s="293"/>
    </row>
    <row r="39" spans="6:7" x14ac:dyDescent="0.25">
      <c r="F39" s="358"/>
      <c r="G39" s="293"/>
    </row>
    <row r="40" spans="6:7" x14ac:dyDescent="0.25">
      <c r="F40" s="358"/>
      <c r="G40" s="293"/>
    </row>
    <row r="41" spans="6:7" x14ac:dyDescent="0.25">
      <c r="F41" s="358"/>
      <c r="G41" s="293"/>
    </row>
    <row r="42" spans="6:7" x14ac:dyDescent="0.25">
      <c r="F42" s="358"/>
      <c r="G42" s="293"/>
    </row>
  </sheetData>
  <mergeCells count="9">
    <mergeCell ref="B20:H20"/>
    <mergeCell ref="B21:H21"/>
    <mergeCell ref="B22:H22"/>
    <mergeCell ref="B1:F1"/>
    <mergeCell ref="B2:F2"/>
    <mergeCell ref="B3:F3"/>
    <mergeCell ref="B14:F14"/>
    <mergeCell ref="B15:F15"/>
    <mergeCell ref="B16:F16"/>
  </mergeCells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 xml:space="preserve">&amp;L&amp;"Rockwell,Gras"&amp;P/&amp;N&amp;C&amp;"Rockwell,Gras"&amp;D&amp;R&amp;"Rockwell,Gras"&amp;F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G32"/>
  <sheetViews>
    <sheetView topLeftCell="A16" zoomScale="90" zoomScaleNormal="90" workbookViewId="0">
      <pane xSplit="1" topLeftCell="B1" activePane="topRight" state="frozen"/>
      <selection activeCell="O13" sqref="O13"/>
      <selection pane="topRight" activeCell="O13" sqref="O13"/>
    </sheetView>
  </sheetViews>
  <sheetFormatPr baseColWidth="10" defaultRowHeight="12.75" x14ac:dyDescent="0.25"/>
  <cols>
    <col min="1" max="1" width="28.7109375" style="327" bestFit="1" customWidth="1"/>
    <col min="2" max="14" width="11.42578125" style="327"/>
    <col min="15" max="16" width="11.42578125" style="359"/>
    <col min="17" max="17" width="23.5703125" style="327" bestFit="1" customWidth="1"/>
    <col min="18" max="18" width="22.28515625" style="327" bestFit="1" customWidth="1"/>
    <col min="19" max="16384" width="11.42578125" style="327"/>
  </cols>
  <sheetData>
    <row r="1" spans="1:33" ht="24" customHeight="1" x14ac:dyDescent="0.25">
      <c r="A1" s="591" t="s">
        <v>262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3"/>
      <c r="Q1" s="360"/>
      <c r="R1" s="580" t="s">
        <v>263</v>
      </c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</row>
    <row r="2" spans="1:33" ht="24" customHeight="1" x14ac:dyDescent="0.25">
      <c r="A2" s="594" t="s">
        <v>226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6"/>
      <c r="Q2" s="360"/>
      <c r="R2" s="581" t="str">
        <f>A2</f>
        <v>Campagne : Hiver 2015</v>
      </c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</row>
    <row r="3" spans="1:33" ht="24" customHeight="1" thickBot="1" x14ac:dyDescent="0.3">
      <c r="A3" s="603" t="s">
        <v>139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5"/>
      <c r="Q3" s="360"/>
      <c r="R3" s="582" t="s">
        <v>264</v>
      </c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</row>
    <row r="4" spans="1:33" ht="24" customHeight="1" thickBot="1" x14ac:dyDescent="0.3">
      <c r="A4" s="361" t="s">
        <v>140</v>
      </c>
      <c r="B4" s="362" t="s">
        <v>142</v>
      </c>
      <c r="C4" s="363" t="s">
        <v>265</v>
      </c>
      <c r="D4" s="362" t="s">
        <v>266</v>
      </c>
      <c r="E4" s="362" t="s">
        <v>267</v>
      </c>
      <c r="F4" s="362" t="s">
        <v>268</v>
      </c>
      <c r="G4" s="362" t="s">
        <v>269</v>
      </c>
      <c r="H4" s="362" t="s">
        <v>270</v>
      </c>
      <c r="I4" s="362" t="s">
        <v>271</v>
      </c>
      <c r="J4" s="362" t="s">
        <v>272</v>
      </c>
      <c r="K4" s="364" t="s">
        <v>273</v>
      </c>
      <c r="L4" s="365" t="s">
        <v>274</v>
      </c>
      <c r="M4" s="366" t="s">
        <v>275</v>
      </c>
      <c r="N4" s="367" t="s">
        <v>276</v>
      </c>
      <c r="O4" s="359" t="s">
        <v>277</v>
      </c>
      <c r="P4" s="359" t="s">
        <v>278</v>
      </c>
      <c r="Q4" s="368"/>
      <c r="R4" s="369" t="s">
        <v>279</v>
      </c>
      <c r="S4" s="370" t="s">
        <v>142</v>
      </c>
      <c r="T4" s="370" t="s">
        <v>280</v>
      </c>
      <c r="U4" s="370" t="s">
        <v>281</v>
      </c>
      <c r="V4" s="370" t="s">
        <v>282</v>
      </c>
      <c r="W4" s="370" t="s">
        <v>283</v>
      </c>
      <c r="X4" s="370" t="s">
        <v>284</v>
      </c>
      <c r="Y4" s="370" t="s">
        <v>285</v>
      </c>
      <c r="Z4" s="370" t="s">
        <v>286</v>
      </c>
      <c r="AA4" s="371" t="s">
        <v>287</v>
      </c>
      <c r="AB4" s="372" t="s">
        <v>273</v>
      </c>
      <c r="AC4" s="373" t="s">
        <v>274</v>
      </c>
      <c r="AD4" s="374" t="s">
        <v>275</v>
      </c>
      <c r="AE4" s="375" t="s">
        <v>288</v>
      </c>
      <c r="AF4" s="359" t="s">
        <v>289</v>
      </c>
      <c r="AG4" s="359" t="s">
        <v>278</v>
      </c>
    </row>
    <row r="5" spans="1:33" ht="24" customHeight="1" x14ac:dyDescent="0.25">
      <c r="A5" s="376" t="s">
        <v>189</v>
      </c>
      <c r="B5" s="377" t="s">
        <v>162</v>
      </c>
      <c r="C5" s="378">
        <v>38.6</v>
      </c>
      <c r="D5" s="378">
        <v>35.9</v>
      </c>
      <c r="E5" s="378">
        <v>43.4</v>
      </c>
      <c r="F5" s="378">
        <v>40.4</v>
      </c>
      <c r="G5" s="378">
        <v>43.2</v>
      </c>
      <c r="H5" s="378">
        <v>36.799999999999997</v>
      </c>
      <c r="I5" s="378">
        <v>34.9</v>
      </c>
      <c r="J5" s="378">
        <v>34.9</v>
      </c>
      <c r="K5" s="379">
        <v>38.512499999999996</v>
      </c>
      <c r="L5" s="380">
        <v>40.024999999999999</v>
      </c>
      <c r="M5" s="381">
        <v>37</v>
      </c>
      <c r="N5" s="382">
        <v>36.700000000000003</v>
      </c>
      <c r="O5" s="383">
        <f>N5+(20/100*N5)</f>
        <v>44.040000000000006</v>
      </c>
      <c r="P5" s="383">
        <f>N5-(N5*(20/100))</f>
        <v>29.360000000000003</v>
      </c>
      <c r="Q5" s="600" t="s">
        <v>290</v>
      </c>
      <c r="R5" s="384" t="s">
        <v>291</v>
      </c>
      <c r="S5" s="385" t="s">
        <v>162</v>
      </c>
      <c r="T5" s="386">
        <v>43.803269999999998</v>
      </c>
      <c r="U5" s="387">
        <v>41.076520000000002</v>
      </c>
      <c r="V5" s="387">
        <v>38.820479999999996</v>
      </c>
      <c r="W5" s="387">
        <v>39.467970000000001</v>
      </c>
      <c r="X5" s="387">
        <v>39.169199999999996</v>
      </c>
      <c r="Y5" s="387">
        <v>41.726769999999995</v>
      </c>
      <c r="Z5" s="387">
        <v>42.22851</v>
      </c>
      <c r="AA5" s="388">
        <v>35.378729999999997</v>
      </c>
      <c r="AB5" s="389">
        <v>40.208931249999999</v>
      </c>
      <c r="AC5" s="390">
        <v>41.005364999999998</v>
      </c>
      <c r="AD5" s="391">
        <v>39.412497499999994</v>
      </c>
      <c r="AE5" s="392" t="s">
        <v>292</v>
      </c>
      <c r="AF5" s="359"/>
      <c r="AG5" s="359"/>
    </row>
    <row r="6" spans="1:33" ht="24" customHeight="1" x14ac:dyDescent="0.25">
      <c r="A6" s="393" t="s">
        <v>293</v>
      </c>
      <c r="B6" s="394" t="s">
        <v>192</v>
      </c>
      <c r="C6" s="395">
        <v>3818.8468354430374</v>
      </c>
      <c r="D6" s="395">
        <v>4290.8862559241707</v>
      </c>
      <c r="E6" s="395">
        <v>4231.9469026548668</v>
      </c>
      <c r="F6" s="395">
        <v>4246.3510638297885</v>
      </c>
      <c r="G6" s="395">
        <v>3842.9463548830804</v>
      </c>
      <c r="H6" s="395">
        <v>4112.5162094763091</v>
      </c>
      <c r="I6" s="395">
        <v>3906.8705035971234</v>
      </c>
      <c r="J6" s="395">
        <v>3773.9110840438484</v>
      </c>
      <c r="K6" s="396">
        <v>4028.0344012315277</v>
      </c>
      <c r="L6" s="397">
        <v>3950.152649144527</v>
      </c>
      <c r="M6" s="398">
        <v>4105.9161533185297</v>
      </c>
      <c r="N6" s="399">
        <v>4108</v>
      </c>
      <c r="O6" s="400">
        <f>N6+300</f>
        <v>4408</v>
      </c>
      <c r="P6" s="400">
        <f>N6-300</f>
        <v>3808</v>
      </c>
      <c r="Q6" s="601"/>
      <c r="R6" s="401" t="s">
        <v>194</v>
      </c>
      <c r="S6" s="402" t="s">
        <v>162</v>
      </c>
      <c r="T6" s="403">
        <v>5.8621910000000002</v>
      </c>
      <c r="U6" s="404">
        <v>5.5653959999999998</v>
      </c>
      <c r="V6" s="404">
        <v>5.0584639999999998</v>
      </c>
      <c r="W6" s="404">
        <v>5.2304209999999998</v>
      </c>
      <c r="X6" s="404">
        <v>5.2355599999999995</v>
      </c>
      <c r="Y6" s="404">
        <v>5.6284309999999991</v>
      </c>
      <c r="Z6" s="404">
        <v>5.7321429999999998</v>
      </c>
      <c r="AA6" s="405">
        <v>4.7249689999999998</v>
      </c>
      <c r="AB6" s="406">
        <v>5.3796968749999996</v>
      </c>
      <c r="AC6" s="407">
        <v>5.4720895000000001</v>
      </c>
      <c r="AD6" s="408">
        <v>5.28730425</v>
      </c>
      <c r="AE6" s="409">
        <v>5.2</v>
      </c>
      <c r="AF6" s="359">
        <f>(AE6+(20/100)*AE6)</f>
        <v>6.24</v>
      </c>
      <c r="AG6" s="410">
        <f>(AE6-(AE6*(20/100)))</f>
        <v>4.16</v>
      </c>
    </row>
    <row r="7" spans="1:33" ht="24" customHeight="1" x14ac:dyDescent="0.25">
      <c r="A7" s="411" t="s">
        <v>291</v>
      </c>
      <c r="B7" s="412" t="s">
        <v>162</v>
      </c>
      <c r="C7" s="378">
        <v>36.362151898734169</v>
      </c>
      <c r="D7" s="378">
        <v>40.018601895734605</v>
      </c>
      <c r="E7" s="378">
        <v>39.928982300884961</v>
      </c>
      <c r="F7" s="378">
        <v>40.556249999999999</v>
      </c>
      <c r="G7" s="378">
        <v>36.647867950481427</v>
      </c>
      <c r="H7" s="378">
        <v>39.241271820448866</v>
      </c>
      <c r="I7" s="378">
        <v>37.151199040767381</v>
      </c>
      <c r="J7" s="378">
        <v>37.001583434835574</v>
      </c>
      <c r="K7" s="379">
        <v>38.363488542735872</v>
      </c>
      <c r="L7" s="380">
        <v>37.52255029771699</v>
      </c>
      <c r="M7" s="381">
        <v>39.204426787754763</v>
      </c>
      <c r="N7" s="399" t="s">
        <v>292</v>
      </c>
      <c r="O7" s="383"/>
      <c r="P7" s="400"/>
      <c r="Q7" s="601"/>
      <c r="R7" s="401" t="s">
        <v>293</v>
      </c>
      <c r="S7" s="402" t="s">
        <v>192</v>
      </c>
      <c r="T7" s="413">
        <v>4619.4236820000006</v>
      </c>
      <c r="U7" s="414">
        <v>4174.1088719999998</v>
      </c>
      <c r="V7" s="414">
        <v>3998.8010880000002</v>
      </c>
      <c r="W7" s="414">
        <v>3955.3382220000003</v>
      </c>
      <c r="X7" s="414">
        <v>3836.43352</v>
      </c>
      <c r="Y7" s="414">
        <v>4290.7869219999993</v>
      </c>
      <c r="Z7" s="414">
        <v>4379.539006</v>
      </c>
      <c r="AA7" s="415">
        <v>3592.4109579999999</v>
      </c>
      <c r="AB7" s="416">
        <v>4105.8552837500001</v>
      </c>
      <c r="AC7" s="417">
        <v>4208.5493240000005</v>
      </c>
      <c r="AD7" s="418">
        <v>4003.1612434999997</v>
      </c>
      <c r="AE7" s="419">
        <v>4108</v>
      </c>
      <c r="AF7" s="420">
        <f>AE7+300</f>
        <v>4408</v>
      </c>
      <c r="AG7" s="421">
        <f>AE7-300</f>
        <v>3808</v>
      </c>
    </row>
    <row r="8" spans="1:33" ht="24" customHeight="1" x14ac:dyDescent="0.25">
      <c r="A8" s="411" t="s">
        <v>194</v>
      </c>
      <c r="B8" s="412" t="s">
        <v>162</v>
      </c>
      <c r="C8" s="422">
        <v>4.904582278481012</v>
      </c>
      <c r="D8" s="422">
        <v>5.4296090047393379</v>
      </c>
      <c r="E8" s="422">
        <v>5.4106637168141587</v>
      </c>
      <c r="F8" s="422">
        <v>5.4529255319148948</v>
      </c>
      <c r="G8" s="422">
        <v>4.9318707015130663</v>
      </c>
      <c r="H8" s="422">
        <v>5.2785411471321702</v>
      </c>
      <c r="I8" s="422">
        <v>4.9978417266187067</v>
      </c>
      <c r="J8" s="422">
        <v>4.8875395858708899</v>
      </c>
      <c r="K8" s="423">
        <v>5.1616967116355301</v>
      </c>
      <c r="L8" s="424">
        <v>5.0612396058567359</v>
      </c>
      <c r="M8" s="425">
        <v>5.2621538174143234</v>
      </c>
      <c r="N8" s="426">
        <v>5.2</v>
      </c>
      <c r="O8" s="383">
        <f t="shared" ref="O8" si="0">N8+(20/100*N8)</f>
        <v>6.24</v>
      </c>
      <c r="P8" s="383">
        <f>N8-(N8*(20/100))</f>
        <v>4.16</v>
      </c>
      <c r="Q8" s="601"/>
      <c r="R8" s="401" t="s">
        <v>195</v>
      </c>
      <c r="S8" s="402" t="s">
        <v>192</v>
      </c>
      <c r="T8" s="413">
        <v>4331.0038848000004</v>
      </c>
      <c r="U8" s="414">
        <v>3900.2913887999998</v>
      </c>
      <c r="V8" s="414">
        <v>3749.9246592</v>
      </c>
      <c r="W8" s="414">
        <v>3698.0015088000005</v>
      </c>
      <c r="X8" s="414">
        <v>3578.8439680000001</v>
      </c>
      <c r="Y8" s="414">
        <v>4013.8681167999994</v>
      </c>
      <c r="Z8" s="414">
        <v>4097.5175704000003</v>
      </c>
      <c r="AA8" s="415">
        <v>3359.9424832</v>
      </c>
      <c r="AB8" s="416">
        <v>3841.1741975</v>
      </c>
      <c r="AC8" s="417">
        <v>3939.3225205999997</v>
      </c>
      <c r="AD8" s="418">
        <v>3743.0258744000002</v>
      </c>
      <c r="AE8" s="419">
        <v>3850</v>
      </c>
      <c r="AF8" s="420">
        <f>AE8+300</f>
        <v>4150</v>
      </c>
      <c r="AG8" s="421">
        <f>AE8-300</f>
        <v>3550</v>
      </c>
    </row>
    <row r="9" spans="1:33" ht="24" customHeight="1" x14ac:dyDescent="0.25">
      <c r="A9" s="411" t="s">
        <v>195</v>
      </c>
      <c r="B9" s="412" t="s">
        <v>192</v>
      </c>
      <c r="C9" s="395">
        <v>3577.3425316455696</v>
      </c>
      <c r="D9" s="395">
        <v>4023.5355213270141</v>
      </c>
      <c r="E9" s="395">
        <v>3965.5042477876104</v>
      </c>
      <c r="F9" s="395">
        <v>3977.8407712765966</v>
      </c>
      <c r="G9" s="395">
        <v>3600.1051169188431</v>
      </c>
      <c r="H9" s="395">
        <v>3852.6264339152126</v>
      </c>
      <c r="I9" s="395">
        <v>3660.7831894484416</v>
      </c>
      <c r="J9" s="395">
        <v>3533.2596589524974</v>
      </c>
      <c r="K9" s="396">
        <v>3773.8746839089727</v>
      </c>
      <c r="L9" s="397">
        <v>3700.9337714501162</v>
      </c>
      <c r="M9" s="398">
        <v>3846.81559636783</v>
      </c>
      <c r="N9" s="399">
        <v>3850</v>
      </c>
      <c r="O9" s="400">
        <f t="shared" ref="O9:O12" si="1">N9+300</f>
        <v>4150</v>
      </c>
      <c r="P9" s="400">
        <f t="shared" ref="P9:P12" si="2">N9-300</f>
        <v>3550</v>
      </c>
      <c r="Q9" s="601"/>
      <c r="R9" s="401" t="s">
        <v>294</v>
      </c>
      <c r="S9" s="402" t="s">
        <v>162</v>
      </c>
      <c r="T9" s="427">
        <v>40.5</v>
      </c>
      <c r="U9" s="428">
        <v>43.7</v>
      </c>
      <c r="V9" s="428">
        <v>39</v>
      </c>
      <c r="W9" s="428">
        <v>36.9</v>
      </c>
      <c r="X9" s="428">
        <v>41.1</v>
      </c>
      <c r="Y9" s="428">
        <v>31.6</v>
      </c>
      <c r="Z9" s="428">
        <v>39.799999999999997</v>
      </c>
      <c r="AA9" s="429">
        <v>43.8</v>
      </c>
      <c r="AB9" s="430">
        <v>39.549999999999997</v>
      </c>
      <c r="AC9" s="431">
        <v>40.099999999999994</v>
      </c>
      <c r="AD9" s="432">
        <v>39</v>
      </c>
      <c r="AE9" s="433">
        <v>36.700000000000003</v>
      </c>
      <c r="AF9" s="383">
        <f>(AE9+(20/100)*AE9)</f>
        <v>44.040000000000006</v>
      </c>
      <c r="AG9" s="383">
        <f>(AE9-(AE9*(20/100)))</f>
        <v>29.360000000000003</v>
      </c>
    </row>
    <row r="10" spans="1:33" ht="24" customHeight="1" thickBot="1" x14ac:dyDescent="0.3">
      <c r="A10" s="393" t="s">
        <v>196</v>
      </c>
      <c r="B10" s="394" t="s">
        <v>192</v>
      </c>
      <c r="C10" s="395">
        <v>1984.1883144303795</v>
      </c>
      <c r="D10" s="395">
        <v>2381.6362691706158</v>
      </c>
      <c r="E10" s="395">
        <v>2005.7754042477875</v>
      </c>
      <c r="F10" s="395">
        <v>2148.593099680852</v>
      </c>
      <c r="G10" s="395">
        <v>1807.2597064099027</v>
      </c>
      <c r="H10" s="395">
        <v>2232.4599062344141</v>
      </c>
      <c r="I10" s="395">
        <v>2191.2198563309353</v>
      </c>
      <c r="J10" s="395">
        <v>2108.2020379780761</v>
      </c>
      <c r="K10" s="396">
        <v>2107.4168243103704</v>
      </c>
      <c r="L10" s="397">
        <v>1997.1108203547515</v>
      </c>
      <c r="M10" s="398">
        <v>2217.7228282659894</v>
      </c>
      <c r="N10" s="399">
        <v>2221</v>
      </c>
      <c r="O10" s="400">
        <f t="shared" si="1"/>
        <v>2521</v>
      </c>
      <c r="P10" s="400">
        <f t="shared" si="2"/>
        <v>1921</v>
      </c>
      <c r="Q10" s="602"/>
      <c r="R10" s="434" t="s">
        <v>196</v>
      </c>
      <c r="S10" s="435" t="s">
        <v>192</v>
      </c>
      <c r="T10" s="436">
        <v>2354.1973114560005</v>
      </c>
      <c r="U10" s="437">
        <v>1955.5140518943999</v>
      </c>
      <c r="V10" s="437">
        <v>2072.954042112</v>
      </c>
      <c r="W10" s="437">
        <v>2130.4889520528004</v>
      </c>
      <c r="X10" s="437">
        <v>1881.8890971519997</v>
      </c>
      <c r="Y10" s="437">
        <v>2571.6857918911996</v>
      </c>
      <c r="Z10" s="437">
        <v>2247.8055773808005</v>
      </c>
      <c r="AA10" s="438">
        <v>1647.3876755584001</v>
      </c>
      <c r="AB10" s="439">
        <v>2107.7403124371999</v>
      </c>
      <c r="AC10" s="440">
        <v>2139.2115070252003</v>
      </c>
      <c r="AD10" s="441">
        <v>2076.2691178492</v>
      </c>
      <c r="AE10" s="442">
        <v>2221</v>
      </c>
      <c r="AF10" s="420">
        <f>AE10+300</f>
        <v>2521</v>
      </c>
      <c r="AG10" s="421">
        <f>AE10-300</f>
        <v>1921</v>
      </c>
    </row>
    <row r="11" spans="1:33" ht="24" customHeight="1" x14ac:dyDescent="0.25">
      <c r="A11" s="411" t="s">
        <v>197</v>
      </c>
      <c r="B11" s="412" t="s">
        <v>192</v>
      </c>
      <c r="C11" s="395">
        <v>3921.8088607594923</v>
      </c>
      <c r="D11" s="395">
        <v>4449.6943127962077</v>
      </c>
      <c r="E11" s="395">
        <v>4305.8318584070803</v>
      </c>
      <c r="F11" s="395">
        <v>4259.5837765957458</v>
      </c>
      <c r="G11" s="395">
        <v>3961.323246217331</v>
      </c>
      <c r="H11" s="395">
        <v>4139.463840399002</v>
      </c>
      <c r="I11" s="395">
        <v>4028.5659472422071</v>
      </c>
      <c r="J11" s="395">
        <v>3833.3020706455541</v>
      </c>
      <c r="K11" s="396">
        <v>4112.446739132828</v>
      </c>
      <c r="L11" s="397">
        <v>4054.3824781565277</v>
      </c>
      <c r="M11" s="398">
        <v>4170.5110001091271</v>
      </c>
      <c r="N11" s="399">
        <v>3850</v>
      </c>
      <c r="O11" s="400">
        <f t="shared" si="1"/>
        <v>4150</v>
      </c>
      <c r="P11" s="400">
        <f t="shared" si="2"/>
        <v>3550</v>
      </c>
      <c r="Q11" s="600" t="s">
        <v>295</v>
      </c>
      <c r="R11" s="384" t="s">
        <v>294</v>
      </c>
      <c r="S11" s="443" t="s">
        <v>162</v>
      </c>
      <c r="T11" s="386">
        <v>38.6</v>
      </c>
      <c r="U11" s="387">
        <v>35.9</v>
      </c>
      <c r="V11" s="387">
        <v>43.4</v>
      </c>
      <c r="W11" s="387">
        <v>40.4</v>
      </c>
      <c r="X11" s="387">
        <v>43.2</v>
      </c>
      <c r="Y11" s="387">
        <v>36.799999999999997</v>
      </c>
      <c r="Z11" s="387">
        <v>34.9</v>
      </c>
      <c r="AA11" s="388">
        <v>34.9</v>
      </c>
      <c r="AB11" s="389">
        <v>38.512499999999996</v>
      </c>
      <c r="AC11" s="390">
        <v>40.024999999999999</v>
      </c>
      <c r="AD11" s="391">
        <v>37</v>
      </c>
      <c r="AE11" s="392">
        <v>36.700000000000003</v>
      </c>
      <c r="AF11" s="383">
        <f>(AE11+(20/100)*AE11)</f>
        <v>44.040000000000006</v>
      </c>
      <c r="AG11" s="383">
        <f>(AE11-(AE11*(20/100)))</f>
        <v>29.360000000000003</v>
      </c>
    </row>
    <row r="12" spans="1:33" ht="24" customHeight="1" x14ac:dyDescent="0.25">
      <c r="A12" s="393" t="s">
        <v>198</v>
      </c>
      <c r="B12" s="394" t="s">
        <v>192</v>
      </c>
      <c r="C12" s="395">
        <v>2195.6906405063282</v>
      </c>
      <c r="D12" s="395">
        <v>2654.8040545023687</v>
      </c>
      <c r="E12" s="395">
        <v>2198.4008318584079</v>
      </c>
      <c r="F12" s="395">
        <v>2316.5119308510648</v>
      </c>
      <c r="G12" s="395">
        <v>2012.4316038514439</v>
      </c>
      <c r="H12" s="395">
        <v>2413.7411471321693</v>
      </c>
      <c r="I12" s="395">
        <v>2430.6464316546767</v>
      </c>
      <c r="J12" s="395">
        <v>2303.5296479902559</v>
      </c>
      <c r="K12" s="396">
        <v>2315.7195360433398</v>
      </c>
      <c r="L12" s="397">
        <v>2209.2923769677145</v>
      </c>
      <c r="M12" s="398">
        <v>2422.1466951189645</v>
      </c>
      <c r="N12" s="399">
        <v>2221</v>
      </c>
      <c r="O12" s="400">
        <f t="shared" si="1"/>
        <v>2521</v>
      </c>
      <c r="P12" s="400">
        <f t="shared" si="2"/>
        <v>1921</v>
      </c>
      <c r="Q12" s="601"/>
      <c r="R12" s="444" t="s">
        <v>296</v>
      </c>
      <c r="S12" s="445" t="s">
        <v>192</v>
      </c>
      <c r="T12" s="413">
        <v>3818.8468354430374</v>
      </c>
      <c r="U12" s="414">
        <v>4290.8862559241707</v>
      </c>
      <c r="V12" s="414">
        <v>4231.9469026548668</v>
      </c>
      <c r="W12" s="414">
        <v>4246.3510638297885</v>
      </c>
      <c r="X12" s="414">
        <v>3842.9463548830804</v>
      </c>
      <c r="Y12" s="414">
        <v>4112.5162094763091</v>
      </c>
      <c r="Z12" s="414">
        <v>3906.8705035971234</v>
      </c>
      <c r="AA12" s="415">
        <v>3773.9110840438484</v>
      </c>
      <c r="AB12" s="416">
        <v>4028.0344012315277</v>
      </c>
      <c r="AC12" s="417">
        <v>3950.152649144527</v>
      </c>
      <c r="AD12" s="418">
        <v>4105.9161533185297</v>
      </c>
      <c r="AE12" s="419">
        <v>4108</v>
      </c>
      <c r="AF12" s="420">
        <f t="shared" ref="AF12:AF13" si="3">AE12+300</f>
        <v>4408</v>
      </c>
      <c r="AG12" s="421">
        <f t="shared" ref="AG12:AG13" si="4">AE12-300</f>
        <v>3808</v>
      </c>
    </row>
    <row r="13" spans="1:33" ht="24" customHeight="1" x14ac:dyDescent="0.25">
      <c r="A13" s="411" t="s">
        <v>297</v>
      </c>
      <c r="B13" s="412" t="s">
        <v>192</v>
      </c>
      <c r="C13" s="446">
        <v>-344.46632911392271</v>
      </c>
      <c r="D13" s="446">
        <v>-426.1587914691936</v>
      </c>
      <c r="E13" s="446">
        <v>-340.32761061946985</v>
      </c>
      <c r="F13" s="446">
        <v>-281.74300531914923</v>
      </c>
      <c r="G13" s="446">
        <v>-361.21812929848784</v>
      </c>
      <c r="H13" s="446">
        <v>-286.83740648378944</v>
      </c>
      <c r="I13" s="446">
        <v>-367.78275779376554</v>
      </c>
      <c r="J13" s="446">
        <v>-300.04241169305669</v>
      </c>
      <c r="K13" s="447">
        <v>-338.57205522385436</v>
      </c>
      <c r="L13" s="448">
        <v>-353.44870670641149</v>
      </c>
      <c r="M13" s="449">
        <v>-323.69540374129724</v>
      </c>
      <c r="N13" s="450" t="s">
        <v>174</v>
      </c>
      <c r="O13" s="400"/>
      <c r="P13" s="400"/>
      <c r="Q13" s="601"/>
      <c r="R13" s="444" t="s">
        <v>298</v>
      </c>
      <c r="S13" s="445" t="s">
        <v>192</v>
      </c>
      <c r="T13" s="413">
        <v>1984.1883144303795</v>
      </c>
      <c r="U13" s="414">
        <v>2381.6362691706158</v>
      </c>
      <c r="V13" s="414">
        <v>2005.7754042477875</v>
      </c>
      <c r="W13" s="414">
        <v>2148.593099680852</v>
      </c>
      <c r="X13" s="414">
        <v>1807.2597064099027</v>
      </c>
      <c r="Y13" s="414">
        <v>2232.4599062344141</v>
      </c>
      <c r="Z13" s="414">
        <v>2191.2198563309353</v>
      </c>
      <c r="AA13" s="415">
        <v>2108.2020379780761</v>
      </c>
      <c r="AB13" s="416">
        <v>2107.4168243103704</v>
      </c>
      <c r="AC13" s="417">
        <v>1997.1108203547515</v>
      </c>
      <c r="AD13" s="418">
        <v>2217.7228282659894</v>
      </c>
      <c r="AE13" s="419">
        <v>2221</v>
      </c>
      <c r="AF13" s="420">
        <f t="shared" si="3"/>
        <v>2521</v>
      </c>
      <c r="AG13" s="421">
        <f t="shared" si="4"/>
        <v>1921</v>
      </c>
    </row>
    <row r="14" spans="1:33" ht="24" customHeight="1" thickBot="1" x14ac:dyDescent="0.3">
      <c r="A14" s="451" t="s">
        <v>299</v>
      </c>
      <c r="B14" s="452" t="s">
        <v>192</v>
      </c>
      <c r="C14" s="453">
        <v>-211.50232607594876</v>
      </c>
      <c r="D14" s="453">
        <v>-273.16778533175284</v>
      </c>
      <c r="E14" s="453">
        <v>-192.62542761062036</v>
      </c>
      <c r="F14" s="453">
        <v>-167.9188311702128</v>
      </c>
      <c r="G14" s="453">
        <v>-205.1718974415412</v>
      </c>
      <c r="H14" s="453">
        <v>-181.2812408977552</v>
      </c>
      <c r="I14" s="453">
        <v>-239.42657532374142</v>
      </c>
      <c r="J14" s="453">
        <v>-195.32761001217978</v>
      </c>
      <c r="K14" s="454">
        <v>-208.30271173296904</v>
      </c>
      <c r="L14" s="455">
        <v>-212.18155661296294</v>
      </c>
      <c r="M14" s="456">
        <v>-204.42386685297515</v>
      </c>
      <c r="N14" s="457" t="s">
        <v>174</v>
      </c>
      <c r="Q14" s="602"/>
      <c r="R14" s="434" t="s">
        <v>300</v>
      </c>
      <c r="S14" s="458" t="s">
        <v>192</v>
      </c>
      <c r="T14" s="436">
        <v>2195.6906405063282</v>
      </c>
      <c r="U14" s="437">
        <v>2654.8040545023687</v>
      </c>
      <c r="V14" s="437">
        <v>2198.4008318584079</v>
      </c>
      <c r="W14" s="437">
        <v>2316.5119308510648</v>
      </c>
      <c r="X14" s="437">
        <v>2012.4316038514439</v>
      </c>
      <c r="Y14" s="437">
        <v>2413.7411471321693</v>
      </c>
      <c r="Z14" s="437">
        <v>2430.6464316546767</v>
      </c>
      <c r="AA14" s="438">
        <v>2303.5296479902559</v>
      </c>
      <c r="AB14" s="439">
        <v>2315.7195360433398</v>
      </c>
      <c r="AC14" s="440">
        <v>2209.2923769677145</v>
      </c>
      <c r="AD14" s="441">
        <v>2422.1466951189645</v>
      </c>
      <c r="AE14" s="442">
        <v>2221</v>
      </c>
      <c r="AF14" s="420">
        <f>AE14+300</f>
        <v>2521</v>
      </c>
      <c r="AG14" s="421">
        <f>AE14-300</f>
        <v>1921</v>
      </c>
    </row>
    <row r="15" spans="1:33" ht="24" x14ac:dyDescent="0.25">
      <c r="Q15" s="600" t="s">
        <v>301</v>
      </c>
      <c r="R15" s="384" t="s">
        <v>302</v>
      </c>
      <c r="S15" s="459" t="s">
        <v>162</v>
      </c>
      <c r="T15" s="460">
        <v>4.92227979274611E-2</v>
      </c>
      <c r="U15" s="461">
        <v>0.21727019498607256</v>
      </c>
      <c r="V15" s="461">
        <v>-0.10138248847926265</v>
      </c>
      <c r="W15" s="461">
        <v>-8.6633663366336641E-2</v>
      </c>
      <c r="X15" s="461">
        <v>-4.861111111111114E-2</v>
      </c>
      <c r="Y15" s="461">
        <v>-0.14130434782608686</v>
      </c>
      <c r="Z15" s="461">
        <v>0.14040114613180513</v>
      </c>
      <c r="AA15" s="462">
        <v>0.25501432664756446</v>
      </c>
      <c r="AB15" s="463">
        <v>2.6939305420318117E-2</v>
      </c>
      <c r="AC15" s="464">
        <v>1.8738288569642909E-3</v>
      </c>
      <c r="AD15" s="465">
        <v>5.4054054054054057E-2</v>
      </c>
      <c r="AE15" s="466" t="s">
        <v>174</v>
      </c>
      <c r="AF15" s="359"/>
      <c r="AG15" s="359"/>
    </row>
    <row r="16" spans="1:33" ht="24" customHeight="1" x14ac:dyDescent="0.25">
      <c r="A16" s="359" t="s">
        <v>303</v>
      </c>
      <c r="B16" s="359">
        <v>4108</v>
      </c>
      <c r="C16" s="359">
        <v>4108</v>
      </c>
      <c r="D16" s="359">
        <v>4108</v>
      </c>
      <c r="E16" s="359">
        <v>4108</v>
      </c>
      <c r="F16" s="359">
        <v>4108</v>
      </c>
      <c r="G16" s="359">
        <v>4108</v>
      </c>
      <c r="H16" s="359">
        <v>4108</v>
      </c>
      <c r="I16" s="359">
        <v>4108</v>
      </c>
      <c r="J16" s="359">
        <v>4108</v>
      </c>
      <c r="K16" s="359">
        <v>4108</v>
      </c>
      <c r="L16" s="359">
        <v>4108</v>
      </c>
      <c r="M16" s="359">
        <v>4108</v>
      </c>
      <c r="N16" s="359">
        <v>4108</v>
      </c>
      <c r="Q16" s="601"/>
      <c r="R16" s="401" t="s">
        <v>304</v>
      </c>
      <c r="S16" s="467" t="s">
        <v>162</v>
      </c>
      <c r="T16" s="468">
        <v>0.20963837541918212</v>
      </c>
      <c r="U16" s="469">
        <v>-2.7215213118954924E-2</v>
      </c>
      <c r="V16" s="469">
        <v>-5.5091857250998376E-2</v>
      </c>
      <c r="W16" s="469">
        <v>-6.8532449968308401E-2</v>
      </c>
      <c r="X16" s="469">
        <v>-1.6947504028529455E-3</v>
      </c>
      <c r="Y16" s="469">
        <v>4.3348330667465351E-2</v>
      </c>
      <c r="Z16" s="469">
        <v>0.12098391845024874</v>
      </c>
      <c r="AA16" s="470">
        <v>-4.8093376341385906E-2</v>
      </c>
      <c r="AB16" s="471">
        <v>1.9319815762913931E-2</v>
      </c>
      <c r="AC16" s="472">
        <v>6.5414351749528907E-2</v>
      </c>
      <c r="AD16" s="473">
        <v>-2.5026061415180208E-2</v>
      </c>
      <c r="AE16" s="474" t="s">
        <v>174</v>
      </c>
    </row>
    <row r="17" spans="1:31" ht="24" customHeight="1" thickBot="1" x14ac:dyDescent="0.3">
      <c r="A17" s="359" t="s">
        <v>305</v>
      </c>
      <c r="B17" s="359">
        <v>2221</v>
      </c>
      <c r="C17" s="359">
        <v>2221</v>
      </c>
      <c r="D17" s="359">
        <v>2221</v>
      </c>
      <c r="E17" s="359">
        <v>2221</v>
      </c>
      <c r="F17" s="359">
        <v>2221</v>
      </c>
      <c r="G17" s="359">
        <v>2221</v>
      </c>
      <c r="H17" s="359">
        <v>2221</v>
      </c>
      <c r="I17" s="359">
        <v>2221</v>
      </c>
      <c r="J17" s="359">
        <v>2221</v>
      </c>
      <c r="K17" s="359">
        <v>2221</v>
      </c>
      <c r="L17" s="359">
        <v>2221</v>
      </c>
      <c r="M17" s="359">
        <v>2221</v>
      </c>
      <c r="N17" s="359">
        <v>2221</v>
      </c>
      <c r="Q17" s="602"/>
      <c r="R17" s="475" t="s">
        <v>306</v>
      </c>
      <c r="S17" s="476" t="s">
        <v>162</v>
      </c>
      <c r="T17" s="477">
        <v>0.18647877035393345</v>
      </c>
      <c r="U17" s="478">
        <v>-0.17891993953577523</v>
      </c>
      <c r="V17" s="478">
        <v>3.3492602273386678E-2</v>
      </c>
      <c r="W17" s="478">
        <v>-8.4260475521124659E-3</v>
      </c>
      <c r="X17" s="478">
        <v>4.1294225991651924E-2</v>
      </c>
      <c r="Y17" s="478">
        <v>0.15195161387196976</v>
      </c>
      <c r="Z17" s="478">
        <v>2.5823844597964989E-2</v>
      </c>
      <c r="AA17" s="479">
        <v>-0.21858168909732745</v>
      </c>
      <c r="AB17" s="480">
        <v>1.5349983121414363E-4</v>
      </c>
      <c r="AC17" s="481">
        <v>7.1153130423281724E-2</v>
      </c>
      <c r="AD17" s="482">
        <v>-6.3783313502431813E-2</v>
      </c>
      <c r="AE17" s="483" t="s">
        <v>174</v>
      </c>
    </row>
    <row r="18" spans="1:31" ht="24" customHeight="1" x14ac:dyDescent="0.25">
      <c r="T18" s="484"/>
      <c r="U18" s="484"/>
      <c r="V18" s="484"/>
      <c r="W18" s="484"/>
      <c r="X18" s="484"/>
      <c r="Y18" s="484"/>
      <c r="Z18" s="484"/>
      <c r="AA18" s="484"/>
      <c r="AB18" s="484"/>
    </row>
    <row r="19" spans="1:31" ht="24" customHeight="1" x14ac:dyDescent="0.25">
      <c r="T19" s="484"/>
      <c r="U19" s="484"/>
      <c r="V19" s="484"/>
      <c r="W19" s="484"/>
      <c r="X19" s="484"/>
      <c r="Y19" s="484"/>
      <c r="Z19" s="484"/>
      <c r="AA19" s="484"/>
      <c r="AB19" s="484"/>
    </row>
    <row r="20" spans="1:31" ht="24" customHeight="1" x14ac:dyDescent="0.25"/>
    <row r="21" spans="1:31" ht="24" customHeight="1" x14ac:dyDescent="0.25"/>
    <row r="22" spans="1:31" ht="24" customHeight="1" x14ac:dyDescent="0.25"/>
    <row r="23" spans="1:31" ht="24" customHeight="1" x14ac:dyDescent="0.25"/>
    <row r="24" spans="1:31" ht="24" customHeight="1" x14ac:dyDescent="0.25"/>
    <row r="25" spans="1:31" ht="24" customHeight="1" x14ac:dyDescent="0.25"/>
    <row r="26" spans="1:31" ht="24" customHeight="1" x14ac:dyDescent="0.25"/>
    <row r="27" spans="1:31" ht="24" customHeight="1" x14ac:dyDescent="0.25"/>
    <row r="28" spans="1:31" ht="24" customHeight="1" x14ac:dyDescent="0.25"/>
    <row r="29" spans="1:31" ht="24" customHeight="1" x14ac:dyDescent="0.25"/>
    <row r="30" spans="1:31" ht="24" customHeight="1" x14ac:dyDescent="0.25"/>
    <row r="31" spans="1:31" ht="24" customHeight="1" x14ac:dyDescent="0.25"/>
    <row r="32" spans="1:31" ht="24" customHeight="1" x14ac:dyDescent="0.25"/>
  </sheetData>
  <mergeCells count="9">
    <mergeCell ref="Q5:Q10"/>
    <mergeCell ref="Q11:Q14"/>
    <mergeCell ref="Q15:Q17"/>
    <mergeCell ref="A1:N1"/>
    <mergeCell ref="R1:AE1"/>
    <mergeCell ref="A2:N2"/>
    <mergeCell ref="R2:AE2"/>
    <mergeCell ref="A3:N3"/>
    <mergeCell ref="R3:AE3"/>
  </mergeCells>
  <conditionalFormatting sqref="T15:AA17">
    <cfRule type="cellIs" dxfId="39" priority="39" operator="lessThan">
      <formula>-0.1</formula>
    </cfRule>
    <cfRule type="cellIs" dxfId="38" priority="40" operator="greaterThan">
      <formula>0.1</formula>
    </cfRule>
  </conditionalFormatting>
  <conditionalFormatting sqref="C6:J6">
    <cfRule type="cellIs" dxfId="37" priority="37" operator="lessThan">
      <formula>$P6</formula>
    </cfRule>
    <cfRule type="cellIs" dxfId="36" priority="38" operator="greaterThan">
      <formula>$O6</formula>
    </cfRule>
  </conditionalFormatting>
  <conditionalFormatting sqref="K6:M6">
    <cfRule type="cellIs" dxfId="35" priority="33" operator="lessThan">
      <formula>$P6</formula>
    </cfRule>
    <cfRule type="cellIs" dxfId="34" priority="34" operator="greaterThan">
      <formula>$O6</formula>
    </cfRule>
    <cfRule type="cellIs" dxfId="33" priority="35" operator="lessThan">
      <formula>$P6</formula>
    </cfRule>
    <cfRule type="cellIs" dxfId="32" priority="36" operator="greaterThan">
      <formula>$O6</formula>
    </cfRule>
  </conditionalFormatting>
  <conditionalFormatting sqref="K9:M12">
    <cfRule type="cellIs" dxfId="31" priority="29" operator="lessThan">
      <formula>$P9</formula>
    </cfRule>
    <cfRule type="cellIs" dxfId="30" priority="30" operator="greaterThan">
      <formula>$O9</formula>
    </cfRule>
    <cfRule type="cellIs" dxfId="29" priority="31" operator="lessThan">
      <formula>$P9</formula>
    </cfRule>
    <cfRule type="cellIs" dxfId="28" priority="32" operator="greaterThan">
      <formula>$O9</formula>
    </cfRule>
  </conditionalFormatting>
  <conditionalFormatting sqref="C9:J12">
    <cfRule type="cellIs" dxfId="27" priority="27" operator="lessThan">
      <formula>$P9</formula>
    </cfRule>
    <cfRule type="cellIs" dxfId="26" priority="28" operator="greaterThan">
      <formula>$O9</formula>
    </cfRule>
  </conditionalFormatting>
  <conditionalFormatting sqref="C5:J5">
    <cfRule type="cellIs" dxfId="25" priority="25" operator="lessThan">
      <formula>$P5</formula>
    </cfRule>
    <cfRule type="cellIs" dxfId="24" priority="26" operator="greaterThan">
      <formula>$O5</formula>
    </cfRule>
  </conditionalFormatting>
  <conditionalFormatting sqref="C8:J8">
    <cfRule type="cellIs" dxfId="23" priority="23" operator="lessThan">
      <formula>$P8</formula>
    </cfRule>
    <cfRule type="cellIs" dxfId="22" priority="24" operator="greaterThan">
      <formula>$O8</formula>
    </cfRule>
  </conditionalFormatting>
  <conditionalFormatting sqref="K5:M5">
    <cfRule type="cellIs" dxfId="21" priority="19" operator="lessThan">
      <formula>$P5</formula>
    </cfRule>
    <cfRule type="cellIs" dxfId="20" priority="20" operator="greaterThan">
      <formula>$O5</formula>
    </cfRule>
    <cfRule type="cellIs" dxfId="19" priority="21" operator="lessThan">
      <formula>$P5</formula>
    </cfRule>
    <cfRule type="cellIs" dxfId="18" priority="22" operator="greaterThan">
      <formula>$O5</formula>
    </cfRule>
  </conditionalFormatting>
  <conditionalFormatting sqref="K8:M8">
    <cfRule type="cellIs" dxfId="17" priority="15" operator="lessThan">
      <formula>$P8</formula>
    </cfRule>
    <cfRule type="cellIs" dxfId="16" priority="16" operator="greaterThan">
      <formula>$O8</formula>
    </cfRule>
    <cfRule type="cellIs" dxfId="15" priority="17" operator="lessThan">
      <formula>$P8</formula>
    </cfRule>
    <cfRule type="cellIs" dxfId="14" priority="18" operator="greaterThan">
      <formula>$O8</formula>
    </cfRule>
  </conditionalFormatting>
  <conditionalFormatting sqref="T6:AA6">
    <cfRule type="cellIs" dxfId="13" priority="13" operator="greaterThan">
      <formula>$AF6</formula>
    </cfRule>
    <cfRule type="cellIs" dxfId="12" priority="14" operator="lessThan">
      <formula>$AG6</formula>
    </cfRule>
  </conditionalFormatting>
  <conditionalFormatting sqref="T7:AA14">
    <cfRule type="cellIs" dxfId="11" priority="11" operator="greaterThan">
      <formula>$AF7</formula>
    </cfRule>
    <cfRule type="cellIs" dxfId="10" priority="12" operator="lessThan">
      <formula>$AG7</formula>
    </cfRule>
  </conditionalFormatting>
  <conditionalFormatting sqref="AB6:AD6">
    <cfRule type="cellIs" dxfId="9" priority="9" operator="greaterThan">
      <formula>$AF6</formula>
    </cfRule>
    <cfRule type="cellIs" dxfId="8" priority="10" operator="lessThan">
      <formula>$AG6</formula>
    </cfRule>
  </conditionalFormatting>
  <conditionalFormatting sqref="AB9:AD9">
    <cfRule type="cellIs" dxfId="7" priority="7" operator="greaterThan">
      <formula>$AF9</formula>
    </cfRule>
    <cfRule type="cellIs" dxfId="6" priority="8" operator="lessThan">
      <formula>$AG9</formula>
    </cfRule>
  </conditionalFormatting>
  <conditionalFormatting sqref="AB11:AD14">
    <cfRule type="cellIs" dxfId="5" priority="5" operator="greaterThan">
      <formula>$AF11</formula>
    </cfRule>
    <cfRule type="cellIs" dxfId="4" priority="6" operator="lessThan">
      <formula>$AG11</formula>
    </cfRule>
  </conditionalFormatting>
  <conditionalFormatting sqref="AB10:AD10">
    <cfRule type="cellIs" dxfId="3" priority="3" operator="greaterThan">
      <formula>$AF10</formula>
    </cfRule>
    <cfRule type="cellIs" dxfId="2" priority="4" operator="lessThan">
      <formula>$AG10</formula>
    </cfRule>
  </conditionalFormatting>
  <conditionalFormatting sqref="AB7:AD8">
    <cfRule type="cellIs" dxfId="1" priority="1" operator="greaterThan">
      <formula>$AF7</formula>
    </cfRule>
    <cfRule type="cellIs" dxfId="0" priority="2" operator="lessThan">
      <formula>$AG7</formula>
    </cfRule>
  </conditionalFormatting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M38" sqref="M38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'[3]F 1 _ Echant et Séchage'!D5</f>
        <v>IVR H15 PB BAN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'[3]F 1 _ Echant et Séchage'!D6</f>
        <v>Vitry-sur-seine CX 441 TJ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'[3]F 1 _ Echant et Séchage'!D8</f>
        <v>IVRY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'[3]F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'[3]F 1 _ Echant et Séchage'!B12</f>
        <v>42039</v>
      </c>
      <c r="D9" s="485" t="s">
        <v>6</v>
      </c>
      <c r="E9" s="485"/>
      <c r="F9" s="485"/>
      <c r="G9" s="6">
        <f>'[3]F 1 _ Echant et Séchage'!G19</f>
        <v>128.1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'[3]F 1 _ Echant et Séchage'!E12</f>
        <v>0.32291666666666669</v>
      </c>
      <c r="D10" s="485" t="s">
        <v>9</v>
      </c>
      <c r="E10" s="485"/>
      <c r="F10" s="485"/>
      <c r="G10" s="236">
        <f>'[3]F 1 _ Echant et Séchage'!H26</f>
        <v>0.43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0.29790697674418604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45">
        <f>'[3]F 1 _ Echant et Séchage'!D51</f>
        <v>0.34925839188134267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'[3]F 4 TRI _ Granulo'!K5</f>
        <v>2.4540856031128411</v>
      </c>
      <c r="D18" s="20">
        <f>'[3]F 4 TRI _ Granulo'!H5</f>
        <v>9.000000000000008E-2</v>
      </c>
      <c r="E18" s="20">
        <f>'[3]F 4 TRI _ Granulo'!E5</f>
        <v>0</v>
      </c>
      <c r="F18" s="20">
        <f>SUM(C18:E18)</f>
        <v>2.5440856031128414</v>
      </c>
      <c r="G18" s="21">
        <f t="shared" ref="G18:G64" si="0">F18/$F$64</f>
        <v>3.1022339899474775E-2</v>
      </c>
      <c r="H18" s="21">
        <f>G18*J18/I18</f>
        <v>7.1115219591403947E-2</v>
      </c>
      <c r="I18" s="492">
        <f>G18+G19+G20+G21+G22</f>
        <v>7.9144616020552602E-2</v>
      </c>
      <c r="J18" s="492">
        <f>'[3]Calcul sous cat &gt;20'!N8/100</f>
        <v>0.18143011668421041</v>
      </c>
    </row>
    <row r="19" spans="1:10" s="1" customFormat="1" ht="15" customHeight="1" x14ac:dyDescent="0.2">
      <c r="A19" s="498"/>
      <c r="B19" s="18" t="s">
        <v>27</v>
      </c>
      <c r="C19" s="19">
        <f>'[3]F 4 TRI _ Granulo'!K6</f>
        <v>3.7161867704280178</v>
      </c>
      <c r="D19" s="20">
        <f>'[3]F 4 TRI _ Granulo'!H6</f>
        <v>9.000000000000008E-2</v>
      </c>
      <c r="E19" s="20">
        <f>'[3]F 4 TRI _ Granulo'!E6</f>
        <v>0</v>
      </c>
      <c r="F19" s="20">
        <f>SUM(C19:E19)</f>
        <v>3.8061867704280177</v>
      </c>
      <c r="G19" s="21">
        <f t="shared" si="0"/>
        <v>4.6412282498917511E-2</v>
      </c>
      <c r="H19" s="21">
        <f>G19*J18/I18</f>
        <v>0.1063949293426662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'[3]F 4 TRI _ Granulo'!K7</f>
        <v>0</v>
      </c>
      <c r="D20" s="20">
        <f>'[3]F 4 TRI _ Granulo'!H7</f>
        <v>0</v>
      </c>
      <c r="E20" s="20">
        <f>'[3]F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'[3]F 4 TRI _ Granulo'!K8</f>
        <v>7.01167315175098E-2</v>
      </c>
      <c r="D21" s="20">
        <f>'[3]F 4 TRI _ Granulo'!H8</f>
        <v>0</v>
      </c>
      <c r="E21" s="20">
        <f>'[3]F 4 TRI _ Granulo'!E8</f>
        <v>0</v>
      </c>
      <c r="F21" s="20">
        <f t="shared" si="1"/>
        <v>7.01167315175098E-2</v>
      </c>
      <c r="G21" s="21">
        <f t="shared" si="0"/>
        <v>8.5499681108015205E-4</v>
      </c>
      <c r="H21" s="21">
        <f>G21*J18/I18</f>
        <v>1.9599838750701251E-3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'[3]F 4 TRI _ Granulo'!K9</f>
        <v>7.01167315175098E-2</v>
      </c>
      <c r="D22" s="20">
        <f>'[3]F 4 TRI _ Granulo'!H9</f>
        <v>0</v>
      </c>
      <c r="E22" s="20">
        <f>'[3]F 4 TRI _ Granulo'!E9</f>
        <v>0</v>
      </c>
      <c r="F22" s="20">
        <f t="shared" si="1"/>
        <v>7.01167315175098E-2</v>
      </c>
      <c r="G22" s="21">
        <f t="shared" si="0"/>
        <v>8.5499681108015205E-4</v>
      </c>
      <c r="H22" s="21">
        <f>G22*J18/I18</f>
        <v>1.9599838750701251E-3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'[3]F 4 TRI _ Granulo'!K10</f>
        <v>0.4908171206225686</v>
      </c>
      <c r="D23" s="20">
        <f>'[3]F 4 TRI _ Granulo'!H10</f>
        <v>1.0000000000000009E-2</v>
      </c>
      <c r="E23" s="20">
        <f>'[3]F 4 TRI _ Granulo'!E10</f>
        <v>0</v>
      </c>
      <c r="F23" s="20">
        <f t="shared" si="1"/>
        <v>0.50081712062256867</v>
      </c>
      <c r="G23" s="21">
        <f t="shared" si="0"/>
        <v>6.1069167344132294E-3</v>
      </c>
      <c r="H23" s="21">
        <f>'[3]Calcul sous cat &gt;20'!N32/100</f>
        <v>5.8327143457068938E-3</v>
      </c>
      <c r="I23" s="496">
        <f>G23+G24+G25+G26+G27</f>
        <v>0.20493305640673024</v>
      </c>
      <c r="J23" s="496">
        <f>'[3]Calcul sous cat &gt;20'!N9/100</f>
        <v>0.19178378249817812</v>
      </c>
    </row>
    <row r="24" spans="1:10" s="1" customFormat="1" ht="15" customHeight="1" x14ac:dyDescent="0.2">
      <c r="A24" s="494"/>
      <c r="B24" s="18" t="s">
        <v>33</v>
      </c>
      <c r="C24" s="19">
        <f>'[3]F 4 TRI _ Granulo'!K11</f>
        <v>0.35058365758754895</v>
      </c>
      <c r="D24" s="20">
        <f>'[3]F 4 TRI _ Granulo'!H11</f>
        <v>0</v>
      </c>
      <c r="E24" s="20">
        <f>'[3]F 4 TRI _ Granulo'!E11</f>
        <v>0</v>
      </c>
      <c r="F24" s="20">
        <f t="shared" si="1"/>
        <v>0.35058365758754895</v>
      </c>
      <c r="G24" s="21">
        <f t="shared" si="0"/>
        <v>4.2749840554007594E-3</v>
      </c>
      <c r="H24" s="21">
        <f>'[3]Calcul sous cat &gt;20'!N33/100</f>
        <v>3.9390947424376268E-3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'[3]F 4 TRI _ Granulo'!K12</f>
        <v>0.77128404669260775</v>
      </c>
      <c r="D25" s="20">
        <f>'[3]F 4 TRI _ Granulo'!H12</f>
        <v>6.1899999999999995</v>
      </c>
      <c r="E25" s="20">
        <f>'[3]F 4 TRI _ Granulo'!E12</f>
        <v>0</v>
      </c>
      <c r="F25" s="20">
        <f t="shared" si="1"/>
        <v>6.9612840466926071</v>
      </c>
      <c r="G25" s="21">
        <f t="shared" si="0"/>
        <v>8.4885241113370952E-2</v>
      </c>
      <c r="H25" s="21">
        <f>'[3]Calcul sous cat &gt;20'!N34/100</f>
        <v>7.8215731952919337E-2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'[3]F 4 TRI _ Granulo'!K13</f>
        <v>0.35058365758754895</v>
      </c>
      <c r="D26" s="20">
        <f>'[3]F 4 TRI _ Granulo'!H13</f>
        <v>1.31</v>
      </c>
      <c r="E26" s="20">
        <f>'[3]F 4 TRI _ Granulo'!E13</f>
        <v>0</v>
      </c>
      <c r="F26" s="20">
        <f t="shared" si="1"/>
        <v>1.660583657587549</v>
      </c>
      <c r="G26" s="21">
        <f t="shared" si="0"/>
        <v>2.0249000503034197E-2</v>
      </c>
      <c r="H26" s="21">
        <f>'[3]Calcul sous cat &gt;20'!N35/100</f>
        <v>1.8837431043831315E-2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'[3]F 4 TRI _ Granulo'!K14</f>
        <v>1.7529182879377432</v>
      </c>
      <c r="D27" s="20">
        <f>'[3]F 4 TRI _ Granulo'!H14</f>
        <v>2.9599999999999995</v>
      </c>
      <c r="E27" s="20">
        <f>'[3]F 4 TRI _ Granulo'!E14</f>
        <v>2.62</v>
      </c>
      <c r="F27" s="20">
        <f t="shared" si="1"/>
        <v>7.3329182879377433</v>
      </c>
      <c r="G27" s="21">
        <f t="shared" si="0"/>
        <v>8.9416914000511091E-2</v>
      </c>
      <c r="H27" s="21">
        <f>'[3]Calcul sous cat &gt;20'!N36/100</f>
        <v>8.4958810413282931E-2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'[3]F 4 TRI _ Granulo'!K15</f>
        <v>2.7345525291828801</v>
      </c>
      <c r="D28" s="20">
        <f>'[3]F 4 TRI _ Granulo'!H15</f>
        <v>0.49000000000000021</v>
      </c>
      <c r="E28" s="20">
        <f>'[3]F 4 TRI _ Granulo'!E15</f>
        <v>0</v>
      </c>
      <c r="F28" s="20">
        <f t="shared" si="1"/>
        <v>3.2245525291828803</v>
      </c>
      <c r="G28" s="21">
        <f t="shared" si="0"/>
        <v>3.9319889417881927E-2</v>
      </c>
      <c r="H28" s="21">
        <f>'[3]Calcul sous cat &gt;20'!N37/100</f>
        <v>3.6513831469721675E-2</v>
      </c>
      <c r="I28" s="496">
        <f>G28+G29+G30</f>
        <v>7.9114724345137458E-2</v>
      </c>
      <c r="J28" s="496">
        <f>'[3]Calcul sous cat &gt;20'!N10/100</f>
        <v>7.4051668671202608E-2</v>
      </c>
    </row>
    <row r="29" spans="1:10" s="1" customFormat="1" ht="15" customHeight="1" x14ac:dyDescent="0.2">
      <c r="A29" s="494"/>
      <c r="B29" s="18" t="s">
        <v>39</v>
      </c>
      <c r="C29" s="19">
        <f>'[3]F 4 TRI _ Granulo'!K16</f>
        <v>7.01167315175098E-2</v>
      </c>
      <c r="D29" s="20">
        <f>'[3]F 4 TRI _ Granulo'!H16</f>
        <v>0.49000000000000021</v>
      </c>
      <c r="E29" s="20">
        <f>'[3]F 4 TRI _ Granulo'!E16</f>
        <v>0.36</v>
      </c>
      <c r="F29" s="20">
        <f t="shared" si="1"/>
        <v>0.92011673151750994</v>
      </c>
      <c r="G29" s="21">
        <f t="shared" si="0"/>
        <v>1.1219816643514062E-2</v>
      </c>
      <c r="H29" s="21">
        <f>'[3]Calcul sous cat &gt;20'!N38/100</f>
        <v>1.0434485183328922E-2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'[3]F 4 TRI _ Granulo'!K17</f>
        <v>2.0333852140077826</v>
      </c>
      <c r="D30" s="20">
        <f>'[3]F 4 TRI _ Granulo'!H17</f>
        <v>0.31000000000000005</v>
      </c>
      <c r="E30" s="20">
        <f>'[3]F 4 TRI _ Granulo'!E17</f>
        <v>0</v>
      </c>
      <c r="F30" s="20">
        <f t="shared" si="1"/>
        <v>2.3433852140077827</v>
      </c>
      <c r="G30" s="21">
        <f t="shared" si="0"/>
        <v>2.8575018283741465E-2</v>
      </c>
      <c r="H30" s="21">
        <f>'[3]Calcul sous cat &gt;20'!N39/100</f>
        <v>2.7103352018152008E-2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'[3]F 4 TRI _ Granulo'!K18</f>
        <v>0</v>
      </c>
      <c r="D31" s="20">
        <f>'[3]F 4 TRI _ Granulo'!H18</f>
        <v>0.25</v>
      </c>
      <c r="E31" s="20">
        <f>'[3]F 4 TRI _ Granulo'!E18</f>
        <v>0</v>
      </c>
      <c r="F31" s="20">
        <f t="shared" si="1"/>
        <v>0.25</v>
      </c>
      <c r="G31" s="21">
        <f t="shared" si="0"/>
        <v>3.0484764213040906E-3</v>
      </c>
      <c r="H31" s="243">
        <f>G31*J31/I31</f>
        <v>3.5901477045397773E-3</v>
      </c>
      <c r="I31" s="503">
        <f>G31+G32+G33+G34</f>
        <v>5.7354059113967105E-3</v>
      </c>
      <c r="J31" s="503">
        <f>'[3]Calcul sous cat &gt;20'!N11/100</f>
        <v>6.7545066852104044E-3</v>
      </c>
    </row>
    <row r="32" spans="1:10" s="1" customFormat="1" ht="15" customHeight="1" x14ac:dyDescent="0.2">
      <c r="A32" s="501"/>
      <c r="B32" s="18" t="s">
        <v>43</v>
      </c>
      <c r="C32" s="19">
        <f>'[3]F 4 TRI _ Granulo'!K19</f>
        <v>0.21035019455252935</v>
      </c>
      <c r="D32" s="20">
        <f>'[3]F 4 TRI _ Granulo'!H19</f>
        <v>1.0000000000000009E-2</v>
      </c>
      <c r="E32" s="20">
        <f>'[3]F 4 TRI _ Granulo'!E19</f>
        <v>0</v>
      </c>
      <c r="F32" s="20">
        <f t="shared" si="1"/>
        <v>0.22035019455252935</v>
      </c>
      <c r="G32" s="21">
        <f t="shared" si="0"/>
        <v>2.6869294900926195E-3</v>
      </c>
      <c r="H32" s="243">
        <f>G32*J31/I31</f>
        <v>3.1643589806706271E-3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'[3]F 4 TRI _ Granulo'!K20</f>
        <v>0</v>
      </c>
      <c r="D33" s="20">
        <f>'[3]F 4 TRI _ Granulo'!H20</f>
        <v>0</v>
      </c>
      <c r="E33" s="20">
        <f>'[3]F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'[3]F 4 TRI _ Granulo'!K21</f>
        <v>0</v>
      </c>
      <c r="D34" s="20">
        <f>'[3]F 4 TRI _ Granulo'!H21</f>
        <v>0</v>
      </c>
      <c r="E34" s="20">
        <f>'[3]F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'[3]F 4 TRI _ Granulo'!K22</f>
        <v>0.91151750972762735</v>
      </c>
      <c r="D35" s="20">
        <f>'[3]F 4 TRI _ Granulo'!H22</f>
        <v>1.83</v>
      </c>
      <c r="E35" s="20">
        <f>'[3]F 4 TRI _ Granulo'!E22</f>
        <v>0</v>
      </c>
      <c r="F35" s="20">
        <f t="shared" si="1"/>
        <v>2.7415175097276272</v>
      </c>
      <c r="G35" s="21">
        <f t="shared" si="0"/>
        <v>3.3429805947987917E-2</v>
      </c>
      <c r="H35" s="21">
        <f>'[3]Calcul sous cat &gt;20'!N43/100</f>
        <v>3.1252369708208404E-2</v>
      </c>
      <c r="I35" s="238">
        <f>G35</f>
        <v>3.3429805947987917E-2</v>
      </c>
      <c r="J35" s="238">
        <f>'[3]Calcul sous cat &gt;20'!N12/100</f>
        <v>3.1252369708208404E-2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'[3]F 4 TRI _ Granulo'!K23</f>
        <v>1.1919844357976666</v>
      </c>
      <c r="D36" s="20">
        <f>'[3]F 4 TRI _ Granulo'!H23</f>
        <v>0.57000000000000028</v>
      </c>
      <c r="E36" s="20">
        <f>'[3]F 4 TRI _ Granulo'!E23</f>
        <v>0</v>
      </c>
      <c r="F36" s="20">
        <f t="shared" si="1"/>
        <v>1.7619844357976668</v>
      </c>
      <c r="G36" s="21">
        <f t="shared" si="0"/>
        <v>2.1485472028935915E-2</v>
      </c>
      <c r="H36" s="21">
        <f>'[3]Calcul sous cat &gt;20'!N44/100</f>
        <v>2.0980556900908335E-2</v>
      </c>
      <c r="I36" s="496">
        <f>G36+G37</f>
        <v>4.518008121236082E-2</v>
      </c>
      <c r="J36" s="496">
        <f>'[3]Calcul sous cat &gt;20'!N13/100</f>
        <v>4.3568343662723795E-2</v>
      </c>
    </row>
    <row r="37" spans="1:10" s="1" customFormat="1" ht="15" customHeight="1" x14ac:dyDescent="0.2">
      <c r="A37" s="495"/>
      <c r="B37" s="18" t="s">
        <v>49</v>
      </c>
      <c r="C37" s="19">
        <f>'[3]F 4 TRI _ Granulo'!K24</f>
        <v>1.8931517509727629</v>
      </c>
      <c r="D37" s="20">
        <f>'[3]F 4 TRI _ Granulo'!H24</f>
        <v>5.0000000000000044E-2</v>
      </c>
      <c r="E37" s="20">
        <f>'[3]F 4 TRI _ Granulo'!E24</f>
        <v>0</v>
      </c>
      <c r="F37" s="20">
        <f t="shared" si="1"/>
        <v>1.9431517509727629</v>
      </c>
      <c r="G37" s="21">
        <f t="shared" si="0"/>
        <v>2.3694609183424906E-2</v>
      </c>
      <c r="H37" s="21">
        <f>'[3]Calcul sous cat &gt;20'!N45/100</f>
        <v>2.2587786761815463E-2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'[3]F 4 TRI _ Granulo'!K25</f>
        <v>0.4908171206225686</v>
      </c>
      <c r="D38" s="20">
        <f>'[3]F 4 TRI _ Granulo'!H25</f>
        <v>2.81</v>
      </c>
      <c r="E38" s="20">
        <f>'[3]F 4 TRI _ Granulo'!E25</f>
        <v>0</v>
      </c>
      <c r="F38" s="20">
        <f t="shared" si="1"/>
        <v>3.3008171206225687</v>
      </c>
      <c r="G38" s="21">
        <f t="shared" si="0"/>
        <v>4.0249852653019044E-2</v>
      </c>
      <c r="H38" s="21">
        <f>'[3]Calcul sous cat &gt;20'!N46/100</f>
        <v>4.3462282895459899E-2</v>
      </c>
      <c r="I38" s="496">
        <f>G38+G39+G40+G41+G42</f>
        <v>0.13362432958428463</v>
      </c>
      <c r="J38" s="496">
        <f>'[3]Calcul sous cat &gt;20'!N14/100</f>
        <v>0.1409589095036968</v>
      </c>
    </row>
    <row r="39" spans="1:10" s="1" customFormat="1" ht="15" customHeight="1" x14ac:dyDescent="0.2">
      <c r="A39" s="494"/>
      <c r="B39" s="18" t="s">
        <v>52</v>
      </c>
      <c r="C39" s="19">
        <f>'[3]F 4 TRI _ Granulo'!K26</f>
        <v>0.63105058365758815</v>
      </c>
      <c r="D39" s="20">
        <f>'[3]F 4 TRI _ Granulo'!H26</f>
        <v>0.79</v>
      </c>
      <c r="E39" s="20">
        <f>'[3]F 4 TRI _ Granulo'!E26</f>
        <v>0</v>
      </c>
      <c r="F39" s="20">
        <f t="shared" si="1"/>
        <v>1.4210505836575882</v>
      </c>
      <c r="G39" s="21">
        <f t="shared" si="0"/>
        <v>1.7328156791042295E-2</v>
      </c>
      <c r="H39" s="21">
        <f>'[3]Calcul sous cat &gt;20'!N47/100</f>
        <v>1.671052999571436E-2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'[3]F 4 TRI _ Granulo'!K27</f>
        <v>0.63105058365758815</v>
      </c>
      <c r="D40" s="20">
        <f>'[3]F 4 TRI _ Granulo'!H27</f>
        <v>0.27</v>
      </c>
      <c r="E40" s="20">
        <f>'[3]F 4 TRI _ Granulo'!E27</f>
        <v>0</v>
      </c>
      <c r="F40" s="20">
        <f t="shared" si="1"/>
        <v>0.90105058365758817</v>
      </c>
      <c r="G40" s="21">
        <f t="shared" si="0"/>
        <v>1.0987325834729786E-2</v>
      </c>
      <c r="H40" s="21">
        <f>'[3]Calcul sous cat &gt;20'!N48/100</f>
        <v>1.0592573407706632E-2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'[3]F 4 TRI _ Granulo'!K28</f>
        <v>1.4724513618677058</v>
      </c>
      <c r="D41" s="20">
        <f>'[3]F 4 TRI _ Granulo'!H28</f>
        <v>0.79999999999999982</v>
      </c>
      <c r="E41" s="20">
        <f>'[3]F 4 TRI _ Granulo'!E28</f>
        <v>0</v>
      </c>
      <c r="F41" s="20">
        <f t="shared" si="1"/>
        <v>2.2724513618677058</v>
      </c>
      <c r="G41" s="21">
        <f t="shared" si="0"/>
        <v>2.7710057580856283E-2</v>
      </c>
      <c r="H41" s="21">
        <f>'[3]Calcul sous cat &gt;20'!N49/100</f>
        <v>2.9893707513334644E-2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'[3]F 4 TRI _ Granulo'!K29</f>
        <v>1.7529182879377432</v>
      </c>
      <c r="D42" s="20">
        <f>'[3]F 4 TRI _ Granulo'!H29</f>
        <v>0.62999999999999989</v>
      </c>
      <c r="E42" s="20">
        <f>'[3]F 4 TRI _ Granulo'!E29</f>
        <v>0.68</v>
      </c>
      <c r="F42" s="20">
        <f t="shared" si="1"/>
        <v>3.0629182879377432</v>
      </c>
      <c r="G42" s="21">
        <f t="shared" si="0"/>
        <v>3.7348936724637218E-2</v>
      </c>
      <c r="H42" s="21">
        <f>'[3]Calcul sous cat &gt;20'!N50/100</f>
        <v>4.0299815691481278E-2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'[3]F 4 TRI _ Granulo'!K30</f>
        <v>1.332217898832686</v>
      </c>
      <c r="D43" s="20">
        <f>'[3]F 4 TRI _ Granulo'!H30</f>
        <v>3.5500000000000003</v>
      </c>
      <c r="E43" s="20">
        <f>'[3]F 4 TRI _ Granulo'!E30</f>
        <v>2.72</v>
      </c>
      <c r="F43" s="20">
        <f t="shared" si="1"/>
        <v>7.6022178988326861</v>
      </c>
      <c r="G43" s="21">
        <f t="shared" si="0"/>
        <v>9.2700728056829482E-2</v>
      </c>
      <c r="H43" s="21">
        <f>J43</f>
        <v>8.8507146924422811E-2</v>
      </c>
      <c r="I43" s="238">
        <f>G43</f>
        <v>9.2700728056829482E-2</v>
      </c>
      <c r="J43" s="238">
        <f>'[3]Calcul sous cat &gt;20'!N15/100</f>
        <v>8.8507146924422811E-2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'[3]F 4 TRI _ Granulo'!K31</f>
        <v>3.2954863813229589</v>
      </c>
      <c r="D44" s="20">
        <f>'[3]F 4 TRI _ Granulo'!H31</f>
        <v>1.4900000000000002</v>
      </c>
      <c r="E44" s="20">
        <f>'[3]F 4 TRI _ Granulo'!E31</f>
        <v>0</v>
      </c>
      <c r="F44" s="20">
        <f t="shared" si="1"/>
        <v>4.7854863813229596</v>
      </c>
      <c r="G44" s="21">
        <f t="shared" si="0"/>
        <v>5.8353769591739518E-2</v>
      </c>
      <c r="H44" s="21">
        <f>G44*J44/I44</f>
        <v>5.4462343329056549E-2</v>
      </c>
      <c r="I44" s="496">
        <f>G44+G45</f>
        <v>6.4460686326152747E-2</v>
      </c>
      <c r="J44" s="496">
        <f>'[3]Calcul sous cat &gt;20'!N16/100</f>
        <v>6.0162009318049589E-2</v>
      </c>
    </row>
    <row r="45" spans="1:10" s="1" customFormat="1" ht="15" customHeight="1" x14ac:dyDescent="0.2">
      <c r="A45" s="495"/>
      <c r="B45" s="18" t="s">
        <v>59</v>
      </c>
      <c r="C45" s="19">
        <f>'[3]F 4 TRI _ Granulo'!K32</f>
        <v>0.4908171206225686</v>
      </c>
      <c r="D45" s="20">
        <f>'[3]F 4 TRI _ Granulo'!H32</f>
        <v>1.0000000000000009E-2</v>
      </c>
      <c r="E45" s="20">
        <f>'[3]F 4 TRI _ Granulo'!E32</f>
        <v>0</v>
      </c>
      <c r="F45" s="20">
        <f t="shared" si="1"/>
        <v>0.50081712062256867</v>
      </c>
      <c r="G45" s="21">
        <f t="shared" si="0"/>
        <v>6.1069167344132294E-3</v>
      </c>
      <c r="H45" s="21">
        <f>G45*J44/I44</f>
        <v>5.6996659889930424E-3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'[3]F 4 TRI _ Granulo'!K33</f>
        <v>1.0517509727626471</v>
      </c>
      <c r="D46" s="20">
        <f>'[3]F 4 TRI _ Granulo'!H33</f>
        <v>0.91000000000000014</v>
      </c>
      <c r="E46" s="20">
        <f>'[3]F 4 TRI _ Granulo'!E33</f>
        <v>0</v>
      </c>
      <c r="F46" s="20">
        <f t="shared" si="1"/>
        <v>1.9617509727626472</v>
      </c>
      <c r="G46" s="21">
        <f t="shared" si="0"/>
        <v>2.3921406339749176E-2</v>
      </c>
      <c r="H46" s="21">
        <f t="shared" ref="H46:H51" si="2">G46*$J$46/$I$46</f>
        <v>2.3058761891343746E-2</v>
      </c>
      <c r="I46" s="496">
        <f>G46+G47+G50+G51+G48+G49</f>
        <v>3.7967172487588095E-2</v>
      </c>
      <c r="J46" s="496">
        <f>'[3]Calcul sous cat &gt;20'!N17/100</f>
        <v>3.6598015085096823E-2</v>
      </c>
    </row>
    <row r="47" spans="1:10" s="1" customFormat="1" ht="15" customHeight="1" x14ac:dyDescent="0.2">
      <c r="A47" s="494"/>
      <c r="B47" s="18" t="s">
        <v>62</v>
      </c>
      <c r="C47" s="19">
        <f>'[3]F 4 TRI _ Granulo'!K34</f>
        <v>0.35058365758754895</v>
      </c>
      <c r="D47" s="20">
        <f>'[3]F 4 TRI _ Granulo'!H34</f>
        <v>3.0000000000000027E-2</v>
      </c>
      <c r="E47" s="20">
        <f>'[3]F 4 TRI _ Granulo'!E34</f>
        <v>0</v>
      </c>
      <c r="F47" s="20">
        <f t="shared" si="1"/>
        <v>0.38058365758754897</v>
      </c>
      <c r="G47" s="21">
        <f t="shared" si="0"/>
        <v>4.6408012259572511E-3</v>
      </c>
      <c r="H47" s="21">
        <f t="shared" si="2"/>
        <v>4.4734464577272197E-3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'[3]F 4 TRI _ Granulo'!K35</f>
        <v>0</v>
      </c>
      <c r="D48" s="20">
        <f>'[3]F 4 TRI _ Granulo'!H35</f>
        <v>0</v>
      </c>
      <c r="E48" s="20">
        <f>'[3]F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'[3]F 4 TRI _ Granulo'!K36</f>
        <v>0</v>
      </c>
      <c r="D49" s="20">
        <f>'[3]F 4 TRI _ Granulo'!H36</f>
        <v>0</v>
      </c>
      <c r="E49" s="20">
        <f>'[3]F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'[3]F 4 TRI _ Granulo'!K37</f>
        <v>0</v>
      </c>
      <c r="D50" s="20">
        <f>'[3]F 4 TRI _ Granulo'!H37</f>
        <v>0</v>
      </c>
      <c r="E50" s="20">
        <f>'[3]F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'[3]F 4 TRI _ Granulo'!K38</f>
        <v>0.77128404669260775</v>
      </c>
      <c r="D51" s="20">
        <f>'[3]F 4 TRI _ Granulo'!H38</f>
        <v>0</v>
      </c>
      <c r="E51" s="20">
        <f>'[3]F 4 TRI _ Granulo'!E38</f>
        <v>0</v>
      </c>
      <c r="F51" s="20">
        <f t="shared" si="1"/>
        <v>0.77128404669260775</v>
      </c>
      <c r="G51" s="21">
        <f t="shared" si="0"/>
        <v>9.4049649218816717E-3</v>
      </c>
      <c r="H51" s="21">
        <f t="shared" si="2"/>
        <v>9.065806736025861E-3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'[3]F 4 TRI _ Granulo'!K39</f>
        <v>3.2954863813229589</v>
      </c>
      <c r="D52" s="20">
        <f>'[3]F 4 TRI _ Granulo'!H39</f>
        <v>1.1400000000000001</v>
      </c>
      <c r="E52" s="20">
        <f>'[3]F 4 TRI _ Granulo'!E39</f>
        <v>0</v>
      </c>
      <c r="F52" s="20">
        <f t="shared" si="1"/>
        <v>4.435486381322959</v>
      </c>
      <c r="G52" s="21">
        <f t="shared" si="0"/>
        <v>5.4085902601913781E-2</v>
      </c>
      <c r="H52" s="21">
        <f>J52</f>
        <v>5.7652670582628518E-2</v>
      </c>
      <c r="I52" s="241">
        <f>G52</f>
        <v>5.4085902601913781E-2</v>
      </c>
      <c r="J52" s="241">
        <f>'[3]Calcul sous cat &gt;20'!N18/100</f>
        <v>5.7652670582628518E-2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'[3]F 4 TRI _ Granulo'!K40</f>
        <v>0</v>
      </c>
      <c r="D53" s="20">
        <f>'[3]F 4 TRI _ Granulo'!H40</f>
        <v>0</v>
      </c>
      <c r="E53" s="20">
        <f>'[3]F 4 TRI _ Granulo'!E40</f>
        <v>0</v>
      </c>
      <c r="F53" s="20">
        <f t="shared" si="1"/>
        <v>0</v>
      </c>
      <c r="G53" s="21">
        <f t="shared" si="0"/>
        <v>0</v>
      </c>
      <c r="H53" s="175">
        <f>G53*J53/I53</f>
        <v>0</v>
      </c>
      <c r="I53" s="496">
        <f>SUM(G53:G62)</f>
        <v>8.6354677919095353E-3</v>
      </c>
      <c r="J53" s="496">
        <f>'[3]Calcul sous cat &gt;20'!N19/100</f>
        <v>8.2298040782850124E-3</v>
      </c>
    </row>
    <row r="54" spans="1:10" s="1" customFormat="1" ht="15" customHeight="1" x14ac:dyDescent="0.2">
      <c r="A54" s="494"/>
      <c r="B54" s="18" t="s">
        <v>70</v>
      </c>
      <c r="C54" s="19">
        <f>'[3]F 4 TRI _ Granulo'!K41</f>
        <v>0</v>
      </c>
      <c r="D54" s="20">
        <f>'[3]F 4 TRI _ Granulo'!H41</f>
        <v>0</v>
      </c>
      <c r="E54" s="20">
        <f>'[3]F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'[3]F 4 TRI _ Granulo'!K42</f>
        <v>0.2804669260700392</v>
      </c>
      <c r="D55" s="20">
        <f>'[3]F 4 TRI _ Granulo'!H42</f>
        <v>0</v>
      </c>
      <c r="E55" s="20">
        <f>'[3]F 4 TRI _ Granulo'!E42</f>
        <v>0</v>
      </c>
      <c r="F55" s="20">
        <f>SUM(C55:E55)</f>
        <v>0.2804669260700392</v>
      </c>
      <c r="G55" s="21">
        <f t="shared" si="0"/>
        <v>3.4199872443206082E-3</v>
      </c>
      <c r="H55" s="247">
        <f>G55*J53/I53</f>
        <v>3.2593283478356484E-3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'[3]F 4 TRI _ Granulo'!K43</f>
        <v>0</v>
      </c>
      <c r="D56" s="20">
        <f>'[3]F 4 TRI _ Granulo'!H43</f>
        <v>0</v>
      </c>
      <c r="E56" s="20">
        <f>'[3]F 4 TRI _ Granulo'!E43</f>
        <v>0</v>
      </c>
      <c r="F56" s="20">
        <f t="shared" si="1"/>
        <v>0</v>
      </c>
      <c r="G56" s="21">
        <f>F56/$F$64</f>
        <v>0</v>
      </c>
      <c r="H56" s="247">
        <f>G56*J53/I53</f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'[3]F 4 TRI _ Granulo'!K44</f>
        <v>0.2804669260700392</v>
      </c>
      <c r="D57" s="20">
        <f>'[3]F 4 TRI _ Granulo'!H44</f>
        <v>0</v>
      </c>
      <c r="E57" s="20">
        <f>'[3]F 4 TRI _ Granulo'!E44</f>
        <v>0</v>
      </c>
      <c r="F57" s="20">
        <f t="shared" si="1"/>
        <v>0.2804669260700392</v>
      </c>
      <c r="G57" s="21">
        <f t="shared" ref="G57:G62" si="3">F57/$F$64</f>
        <v>3.4199872443206082E-3</v>
      </c>
      <c r="H57" s="247">
        <f>G57*J53/I53</f>
        <v>3.2593283478356484E-3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'[3]F 4 TRI _ Granulo'!K45</f>
        <v>0</v>
      </c>
      <c r="D58" s="20">
        <f>'[3]F 4 TRI _ Granulo'!H45</f>
        <v>0</v>
      </c>
      <c r="E58" s="20">
        <f>'[3]F 4 TRI _ Granulo'!E45</f>
        <v>0</v>
      </c>
      <c r="F58" s="20">
        <f t="shared" si="1"/>
        <v>0</v>
      </c>
      <c r="G58" s="21">
        <f t="shared" si="3"/>
        <v>0</v>
      </c>
      <c r="H58" s="247">
        <f>G58*J53/I53</f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'[3]F 4 TRI _ Granulo'!K46</f>
        <v>0.14724513618677046</v>
      </c>
      <c r="D59" s="20">
        <f>'[3]F 4 TRI _ Granulo'!H46</f>
        <v>0</v>
      </c>
      <c r="E59" s="20">
        <f>'[3]F 4 TRI _ Granulo'!E46</f>
        <v>0</v>
      </c>
      <c r="F59" s="20">
        <f t="shared" si="1"/>
        <v>0.14724513618677046</v>
      </c>
      <c r="G59" s="21">
        <f t="shared" si="3"/>
        <v>1.795493303268318E-3</v>
      </c>
      <c r="H59" s="247">
        <f>G59*J53/I53</f>
        <v>1.7111473826137143E-3</v>
      </c>
      <c r="I59" s="496"/>
      <c r="J59" s="496"/>
    </row>
    <row r="60" spans="1:10" ht="25.5" x14ac:dyDescent="0.25">
      <c r="A60" s="494"/>
      <c r="B60" s="18" t="s">
        <v>125</v>
      </c>
      <c r="C60" s="19">
        <f>'[3]F 4 TRI _ Granulo'!K47</f>
        <v>0</v>
      </c>
      <c r="D60" s="20">
        <f>'[3]F 4 TRI _ Granulo'!H47</f>
        <v>0</v>
      </c>
      <c r="E60" s="20">
        <f>'[3]F 4 TRI _ Granulo'!E47</f>
        <v>0</v>
      </c>
      <c r="F60" s="20">
        <f t="shared" si="1"/>
        <v>0</v>
      </c>
      <c r="G60" s="21">
        <f t="shared" si="3"/>
        <v>0</v>
      </c>
      <c r="H60" s="247">
        <f>G60*J53/I53</f>
        <v>0</v>
      </c>
      <c r="I60" s="496"/>
      <c r="J60" s="496"/>
    </row>
    <row r="61" spans="1:10" ht="38.25" x14ac:dyDescent="0.25">
      <c r="A61" s="494"/>
      <c r="B61" s="18" t="s">
        <v>126</v>
      </c>
      <c r="C61" s="19">
        <f>'[3]F 4 TRI _ Granulo'!K48</f>
        <v>0</v>
      </c>
      <c r="D61" s="20">
        <f>'[3]F 4 TRI _ Granulo'!H48</f>
        <v>0</v>
      </c>
      <c r="E61" s="20">
        <f>'[3]F 4 TRI _ Granulo'!E48</f>
        <v>0</v>
      </c>
      <c r="F61" s="20">
        <f t="shared" si="1"/>
        <v>0</v>
      </c>
      <c r="G61" s="21">
        <f t="shared" si="3"/>
        <v>0</v>
      </c>
      <c r="H61" s="247">
        <f>G61*J53/I53</f>
        <v>0</v>
      </c>
      <c r="I61" s="496"/>
      <c r="J61" s="496"/>
    </row>
    <row r="62" spans="1:10" ht="51" x14ac:dyDescent="0.25">
      <c r="A62" s="506"/>
      <c r="B62" s="18" t="s">
        <v>73</v>
      </c>
      <c r="C62" s="19">
        <f>'[3]F 4 TRI _ Granulo'!K49</f>
        <v>0</v>
      </c>
      <c r="D62" s="20">
        <f>'[3]F 4 TRI _ Granulo'!H49</f>
        <v>0</v>
      </c>
      <c r="E62" s="20">
        <f>'[3]F 4 TRI _ Granulo'!E49</f>
        <v>0</v>
      </c>
      <c r="F62" s="20">
        <f t="shared" si="1"/>
        <v>0</v>
      </c>
      <c r="G62" s="21">
        <f t="shared" si="3"/>
        <v>0</v>
      </c>
      <c r="H62" s="247">
        <f>G62*J53/I53</f>
        <v>0</v>
      </c>
      <c r="I62" s="496"/>
      <c r="J62" s="496"/>
    </row>
    <row r="63" spans="1:10" x14ac:dyDescent="0.25">
      <c r="A63" s="22" t="s">
        <v>74</v>
      </c>
      <c r="B63" s="23">
        <f>'[3]F 3 _ Criblage et Tri'!C27+'[3]F 3 _ Criblage et Tri'!D27</f>
        <v>11.559999999999999</v>
      </c>
      <c r="C63" s="19">
        <f>'[3]F 4 TRI _ Granulo'!K50</f>
        <v>1.4023346303501927</v>
      </c>
      <c r="D63" s="20">
        <f>'[3]F 4 TRI _ Granulo'!H50</f>
        <v>0.23999999999999977</v>
      </c>
      <c r="E63" s="20">
        <f>'[3]F 4 TRI _ Granulo'!E50</f>
        <v>0</v>
      </c>
      <c r="F63" s="19">
        <f>SUM(B63:E63)</f>
        <v>13.202334630350192</v>
      </c>
      <c r="G63" s="21">
        <f t="shared" si="0"/>
        <v>0.16098802330715609</v>
      </c>
      <c r="H63" s="21">
        <f>J63</f>
        <v>7.9050656598086605E-2</v>
      </c>
      <c r="I63" s="24">
        <f>G63</f>
        <v>0.16098802330715609</v>
      </c>
      <c r="J63" s="24">
        <f>'[3]Calcul sous cat &gt;20'!N20/100</f>
        <v>7.9050656598086605E-2</v>
      </c>
    </row>
    <row r="64" spans="1:10" x14ac:dyDescent="0.25">
      <c r="A64" s="25" t="s">
        <v>25</v>
      </c>
      <c r="B64" s="90">
        <f>B63</f>
        <v>11.559999999999999</v>
      </c>
      <c r="C64" s="19">
        <f>SUM(C18:C63)</f>
        <v>36.748178988326863</v>
      </c>
      <c r="D64" s="19">
        <f>SUM(D18:D63)</f>
        <v>27.320000000000004</v>
      </c>
      <c r="E64" s="19">
        <f>SUM(E18:E63)</f>
        <v>6.3800000000000008</v>
      </c>
      <c r="F64" s="19">
        <f>SUM(B64:E64)</f>
        <v>82.008178988326861</v>
      </c>
      <c r="G64" s="21">
        <f t="shared" si="0"/>
        <v>1</v>
      </c>
      <c r="H64" s="21">
        <f>SUM(H18:H63)</f>
        <v>0.99999999999999956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44">
        <f>B64/$F$64</f>
        <v>0.14096154972110114</v>
      </c>
      <c r="C65" s="244">
        <f>C64/$F$64</f>
        <v>0.44810382868710741</v>
      </c>
      <c r="D65" s="244">
        <f>D64/$F$64</f>
        <v>0.33313750332011111</v>
      </c>
      <c r="E65" s="244">
        <f>E64/$F$64</f>
        <v>7.7797118271680399E-2</v>
      </c>
      <c r="F65" s="244">
        <f>F64/$F$64</f>
        <v>1</v>
      </c>
      <c r="G65" s="1"/>
      <c r="H65" s="1"/>
      <c r="I65" s="1"/>
      <c r="J65" s="1"/>
    </row>
  </sheetData>
  <mergeCells count="39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'[4]F 1 _ Echant et Séchage'!D5</f>
        <v>IVR H15 PB PAR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'[4]F 1 _ Echant et Séchage'!D6</f>
        <v>CN 303 PT Paris 20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'[4]F 1 _ Echant et Séchage'!D8</f>
        <v>IVRY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'[4]F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'[4]F 1 _ Echant et Séchage'!B12</f>
        <v>42039</v>
      </c>
      <c r="D9" s="485" t="s">
        <v>6</v>
      </c>
      <c r="E9" s="485"/>
      <c r="F9" s="485"/>
      <c r="G9" s="6">
        <f>'[4]F 1 _ Echant et Séchage'!G19</f>
        <v>124.2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'[4]F 1 _ Echant et Séchage'!E12</f>
        <v>0.3576388888888889</v>
      </c>
      <c r="D10" s="485" t="s">
        <v>9</v>
      </c>
      <c r="E10" s="485"/>
      <c r="F10" s="485"/>
      <c r="G10" s="236">
        <f>'[4]F 1 _ Echant et Séchage'!H26</f>
        <v>0.61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0.20360655737704919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45">
        <f>'[4]F 1 _ Echant et Séchage'!D51</f>
        <v>0.34879227053140099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'[4]F 4 TRI _ Granulo'!K5</f>
        <v>5.3562400000000014</v>
      </c>
      <c r="D18" s="20">
        <f>'[4]F 4 TRI _ Granulo'!H5</f>
        <v>0.5900000000000003</v>
      </c>
      <c r="E18" s="20">
        <f>'[4]F 4 TRI _ Granulo'!E5</f>
        <v>0</v>
      </c>
      <c r="F18" s="20">
        <f>SUM(C18:E18)</f>
        <v>5.9462400000000013</v>
      </c>
      <c r="G18" s="21">
        <f t="shared" ref="G18:G64" si="0">F18/$F$64</f>
        <v>7.1344991013485612E-2</v>
      </c>
      <c r="H18" s="21">
        <f>G18*J18/I18</f>
        <v>0.14941158563773679</v>
      </c>
      <c r="I18" s="492">
        <f>G18+G19+G20+G21+G22</f>
        <v>0.11871058576312855</v>
      </c>
      <c r="J18" s="492">
        <f>'[4]Calcul sous cat &gt;20'!N8/100</f>
        <v>0.24860521529116164</v>
      </c>
    </row>
    <row r="19" spans="1:10" s="1" customFormat="1" ht="15" customHeight="1" x14ac:dyDescent="0.2">
      <c r="A19" s="498"/>
      <c r="B19" s="18" t="s">
        <v>27</v>
      </c>
      <c r="C19" s="19">
        <f>'[4]F 4 TRI _ Granulo'!K6</f>
        <v>1.5676800000000002</v>
      </c>
      <c r="D19" s="20">
        <f>'[4]F 4 TRI _ Granulo'!H6</f>
        <v>2.35</v>
      </c>
      <c r="E19" s="20">
        <f>'[4]F 4 TRI _ Granulo'!E6</f>
        <v>0</v>
      </c>
      <c r="F19" s="20">
        <f>SUM(C19:E19)</f>
        <v>3.9176800000000003</v>
      </c>
      <c r="G19" s="21">
        <f t="shared" si="0"/>
        <v>4.7005644641607516E-2</v>
      </c>
      <c r="H19" s="21">
        <f>G19*J18/I18</f>
        <v>9.8439817568959323E-2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'[4]F 4 TRI _ Granulo'!K7</f>
        <v>0</v>
      </c>
      <c r="D20" s="20">
        <f>'[4]F 4 TRI _ Granulo'!H7</f>
        <v>0</v>
      </c>
      <c r="E20" s="20">
        <f>'[4]F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'[4]F 4 TRI _ Granulo'!K8</f>
        <v>0</v>
      </c>
      <c r="D21" s="20">
        <f>'[4]F 4 TRI _ Granulo'!H8</f>
        <v>3.0000000000000027E-2</v>
      </c>
      <c r="E21" s="20">
        <f>'[4]F 4 TRI _ Granulo'!E8</f>
        <v>0</v>
      </c>
      <c r="F21" s="20">
        <f t="shared" si="1"/>
        <v>3.0000000000000027E-2</v>
      </c>
      <c r="G21" s="21">
        <f t="shared" si="0"/>
        <v>3.5995010803542571E-4</v>
      </c>
      <c r="H21" s="21">
        <f>G21*J18/I18</f>
        <v>7.5381208446549544E-4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'[4]F 4 TRI _ Granulo'!K9</f>
        <v>0</v>
      </c>
      <c r="D22" s="20">
        <f>'[4]F 4 TRI _ Granulo'!H9</f>
        <v>0</v>
      </c>
      <c r="E22" s="20">
        <f>'[4]F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'[4]F 4 TRI _ Granulo'!K10</f>
        <v>0</v>
      </c>
      <c r="D23" s="20">
        <f>'[4]F 4 TRI _ Granulo'!H10</f>
        <v>0.31000000000000005</v>
      </c>
      <c r="E23" s="20">
        <f>'[4]F 4 TRI _ Granulo'!E10</f>
        <v>0</v>
      </c>
      <c r="F23" s="20">
        <f t="shared" si="1"/>
        <v>0.31000000000000005</v>
      </c>
      <c r="G23" s="21">
        <f t="shared" si="0"/>
        <v>3.7194844496993965E-3</v>
      </c>
      <c r="H23" s="21">
        <f>'[4]Calcul sous cat &gt;20'!N32/100</f>
        <v>3.2447973718621446E-3</v>
      </c>
      <c r="I23" s="496">
        <f>G23+G24+G25+G26+G27</f>
        <v>0.13203833842998688</v>
      </c>
      <c r="J23" s="496">
        <f>'[4]Calcul sous cat &gt;20'!N9/100</f>
        <v>0.11332205556006666</v>
      </c>
    </row>
    <row r="24" spans="1:10" s="1" customFormat="1" ht="15" customHeight="1" x14ac:dyDescent="0.2">
      <c r="A24" s="494"/>
      <c r="B24" s="18" t="s">
        <v>33</v>
      </c>
      <c r="C24" s="19">
        <f>'[4]F 4 TRI _ Granulo'!K11</f>
        <v>0</v>
      </c>
      <c r="D24" s="20">
        <f>'[4]F 4 TRI _ Granulo'!H11</f>
        <v>0</v>
      </c>
      <c r="E24" s="20">
        <f>'[4]F 4 TRI _ Granulo'!E11</f>
        <v>0</v>
      </c>
      <c r="F24" s="20">
        <f t="shared" si="1"/>
        <v>0</v>
      </c>
      <c r="G24" s="21">
        <f t="shared" si="0"/>
        <v>0</v>
      </c>
      <c r="H24" s="21">
        <f>'[4]Calcul sous cat &gt;20'!N33/100</f>
        <v>0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'[4]F 4 TRI _ Granulo'!K12</f>
        <v>0.26128000000000029</v>
      </c>
      <c r="D25" s="20">
        <f>'[4]F 4 TRI _ Granulo'!H12</f>
        <v>3.5500000000000003</v>
      </c>
      <c r="E25" s="20">
        <f>'[4]F 4 TRI _ Granulo'!E12</f>
        <v>0</v>
      </c>
      <c r="F25" s="20">
        <f t="shared" si="1"/>
        <v>3.8112800000000004</v>
      </c>
      <c r="G25" s="21">
        <f t="shared" si="0"/>
        <v>4.5729021591775207E-2</v>
      </c>
      <c r="H25" s="21">
        <f>'[4]Calcul sous cat &gt;20'!N34/100</f>
        <v>3.8587655470238416E-2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'[4]F 4 TRI _ Granulo'!K13</f>
        <v>0.13064000000000014</v>
      </c>
      <c r="D26" s="20">
        <f>'[4]F 4 TRI _ Granulo'!H13</f>
        <v>1.67</v>
      </c>
      <c r="E26" s="20">
        <f>'[4]F 4 TRI _ Granulo'!E13</f>
        <v>0</v>
      </c>
      <c r="F26" s="20">
        <f t="shared" si="1"/>
        <v>1.80064</v>
      </c>
      <c r="G26" s="21">
        <f t="shared" si="0"/>
        <v>2.1604685417763614E-2</v>
      </c>
      <c r="H26" s="21">
        <f>'[4]Calcul sous cat &gt;20'!N35/100</f>
        <v>1.8412961922307659E-2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'[4]F 4 TRI _ Granulo'!K14</f>
        <v>2.6127999999999996</v>
      </c>
      <c r="D27" s="20">
        <f>'[4]F 4 TRI _ Granulo'!H14</f>
        <v>2.4700000000000002</v>
      </c>
      <c r="E27" s="20">
        <f>'[4]F 4 TRI _ Granulo'!E14</f>
        <v>0</v>
      </c>
      <c r="F27" s="20">
        <f t="shared" si="1"/>
        <v>5.0827999999999998</v>
      </c>
      <c r="G27" s="21">
        <f t="shared" si="0"/>
        <v>6.0985146970748673E-2</v>
      </c>
      <c r="H27" s="21">
        <f>'[4]Calcul sous cat &gt;20'!N36/100</f>
        <v>5.3076640795658443E-2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'[4]F 4 TRI _ Granulo'!K15</f>
        <v>1.3063999999999998</v>
      </c>
      <c r="D28" s="20">
        <f>'[4]F 4 TRI _ Granulo'!H15</f>
        <v>2.5600000000000009</v>
      </c>
      <c r="E28" s="20">
        <f>'[4]F 4 TRI _ Granulo'!E15</f>
        <v>0</v>
      </c>
      <c r="F28" s="20">
        <f t="shared" si="1"/>
        <v>3.8664000000000005</v>
      </c>
      <c r="G28" s="21">
        <f t="shared" si="0"/>
        <v>4.639036992360563E-2</v>
      </c>
      <c r="H28" s="21">
        <f>'[4]Calcul sous cat &gt;20'!N37/100</f>
        <v>3.9722429873740972E-2</v>
      </c>
      <c r="I28" s="496">
        <f>G28+G29+G30</f>
        <v>9.886149700562305E-2</v>
      </c>
      <c r="J28" s="496">
        <f>'[4]Calcul sous cat &gt;20'!N10/100</f>
        <v>8.48573189623619E-2</v>
      </c>
    </row>
    <row r="29" spans="1:10" s="1" customFormat="1" ht="15" customHeight="1" x14ac:dyDescent="0.2">
      <c r="A29" s="494"/>
      <c r="B29" s="18" t="s">
        <v>39</v>
      </c>
      <c r="C29" s="19">
        <f>'[4]F 4 TRI _ Granulo'!K16</f>
        <v>0.13064000000000014</v>
      </c>
      <c r="D29" s="20">
        <f>'[4]F 4 TRI _ Granulo'!H16</f>
        <v>2.9499999999999997</v>
      </c>
      <c r="E29" s="20">
        <f>'[4]F 4 TRI _ Granulo'!E16</f>
        <v>0.46</v>
      </c>
      <c r="F29" s="20">
        <f t="shared" si="1"/>
        <v>3.5406399999999998</v>
      </c>
      <c r="G29" s="21">
        <f t="shared" si="0"/>
        <v>4.2481791683818285E-2</v>
      </c>
      <c r="H29" s="21">
        <f>'[4]Calcul sous cat &gt;20'!N38/100</f>
        <v>3.6399994223695532E-2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'[4]F 4 TRI _ Granulo'!K17</f>
        <v>0.52256000000000058</v>
      </c>
      <c r="D30" s="20">
        <f>'[4]F 4 TRI _ Granulo'!H17</f>
        <v>0.31000000000000005</v>
      </c>
      <c r="E30" s="20">
        <f>'[4]F 4 TRI _ Granulo'!E17</f>
        <v>0</v>
      </c>
      <c r="F30" s="20">
        <f t="shared" si="1"/>
        <v>0.83256000000000063</v>
      </c>
      <c r="G30" s="21">
        <f t="shared" si="0"/>
        <v>9.9893353981991336E-3</v>
      </c>
      <c r="H30" s="21">
        <f>'[4]Calcul sous cat &gt;20'!N39/100</f>
        <v>8.7348948649254073E-3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'[4]F 4 TRI _ Granulo'!K18</f>
        <v>0</v>
      </c>
      <c r="D31" s="20">
        <f>'[4]F 4 TRI _ Granulo'!H18</f>
        <v>0.45000000000000018</v>
      </c>
      <c r="E31" s="20">
        <f>'[4]F 4 TRI _ Granulo'!E18</f>
        <v>0</v>
      </c>
      <c r="F31" s="20">
        <f t="shared" si="1"/>
        <v>0.45000000000000018</v>
      </c>
      <c r="G31" s="21">
        <f t="shared" si="0"/>
        <v>5.3992516205313831E-3</v>
      </c>
      <c r="H31" s="243">
        <f>G31*J31/I31</f>
        <v>5.8338012423227283E-3</v>
      </c>
      <c r="I31" s="503">
        <f>G31+G32+G33+G34</f>
        <v>2.1898404705920516E-2</v>
      </c>
      <c r="J31" s="503">
        <f>'[4]Calcul sous cat &gt;20'!N11/100</f>
        <v>2.3660860718640112E-2</v>
      </c>
    </row>
    <row r="32" spans="1:10" s="1" customFormat="1" ht="15" customHeight="1" x14ac:dyDescent="0.2">
      <c r="A32" s="501"/>
      <c r="B32" s="18" t="s">
        <v>43</v>
      </c>
      <c r="C32" s="19">
        <f>'[4]F 4 TRI _ Granulo'!K19</f>
        <v>0.78383999999999932</v>
      </c>
      <c r="D32" s="20">
        <f>'[4]F 4 TRI _ Granulo'!H19</f>
        <v>0.33000000000000007</v>
      </c>
      <c r="E32" s="20">
        <f>'[4]F 4 TRI _ Granulo'!E19</f>
        <v>0</v>
      </c>
      <c r="F32" s="20">
        <f t="shared" si="1"/>
        <v>1.1138399999999993</v>
      </c>
      <c r="G32" s="21">
        <f t="shared" si="0"/>
        <v>1.3364227611139265E-2</v>
      </c>
      <c r="H32" s="243">
        <f>G32*J31/I31</f>
        <v>1.4439824834997199E-2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'[4]F 4 TRI _ Granulo'!K20</f>
        <v>0</v>
      </c>
      <c r="D33" s="20">
        <f>'[4]F 4 TRI _ Granulo'!H20</f>
        <v>0</v>
      </c>
      <c r="E33" s="20">
        <f>'[4]F 4 TRI _ Granulo'!E20</f>
        <v>0</v>
      </c>
      <c r="F33" s="20">
        <f t="shared" si="1"/>
        <v>0</v>
      </c>
      <c r="G33" s="21">
        <f t="shared" si="0"/>
        <v>0</v>
      </c>
      <c r="H33" s="243">
        <f>G33*J31/I31</f>
        <v>0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'[4]F 4 TRI _ Granulo'!K21</f>
        <v>0.26128000000000029</v>
      </c>
      <c r="D34" s="20">
        <f>'[4]F 4 TRI _ Granulo'!H21</f>
        <v>0</v>
      </c>
      <c r="E34" s="20">
        <f>'[4]F 4 TRI _ Granulo'!E21</f>
        <v>0</v>
      </c>
      <c r="F34" s="20">
        <f t="shared" si="1"/>
        <v>0.26128000000000029</v>
      </c>
      <c r="G34" s="21">
        <f t="shared" si="0"/>
        <v>3.1349254742498683E-3</v>
      </c>
      <c r="H34" s="243">
        <f>G34*J31/I31</f>
        <v>3.3872346413201847E-3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'[4]F 4 TRI _ Granulo'!K22</f>
        <v>2.0902400000000005</v>
      </c>
      <c r="D35" s="20">
        <f>'[4]F 4 TRI _ Granulo'!H22</f>
        <v>2.7100000000000004</v>
      </c>
      <c r="E35" s="20">
        <f>'[4]F 4 TRI _ Granulo'!E22</f>
        <v>0</v>
      </c>
      <c r="F35" s="20">
        <f t="shared" si="1"/>
        <v>4.8002400000000005</v>
      </c>
      <c r="G35" s="21">
        <f t="shared" si="0"/>
        <v>5.7594896886532354E-2</v>
      </c>
      <c r="H35" s="21">
        <f>'[4]Calcul sous cat &gt;20'!N43/100</f>
        <v>4.9399373900884544E-2</v>
      </c>
      <c r="I35" s="238">
        <f>G35</f>
        <v>5.7594896886532354E-2</v>
      </c>
      <c r="J35" s="238">
        <f>'[4]Calcul sous cat &gt;20'!N12/100</f>
        <v>4.9399373900884544E-2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'[4]F 4 TRI _ Granulo'!K23</f>
        <v>4.1804800000000002</v>
      </c>
      <c r="D36" s="20">
        <f>'[4]F 4 TRI _ Granulo'!H23</f>
        <v>1.71</v>
      </c>
      <c r="E36" s="20">
        <f>'[4]F 4 TRI _ Granulo'!E23</f>
        <v>0</v>
      </c>
      <c r="F36" s="20">
        <f t="shared" si="1"/>
        <v>5.8904800000000002</v>
      </c>
      <c r="G36" s="21">
        <f t="shared" si="0"/>
        <v>7.067596374601709E-2</v>
      </c>
      <c r="H36" s="21">
        <f>'[4]Calcul sous cat &gt;20'!N44/100</f>
        <v>6.2475912950961082E-2</v>
      </c>
      <c r="I36" s="496">
        <f>G36+G37</f>
        <v>9.8035051557573721E-2</v>
      </c>
      <c r="J36" s="496">
        <f>'[4]Calcul sous cat &gt;20'!N13/100</f>
        <v>8.6395598630708767E-2</v>
      </c>
    </row>
    <row r="37" spans="1:10" s="1" customFormat="1" ht="15" customHeight="1" x14ac:dyDescent="0.2">
      <c r="A37" s="495"/>
      <c r="B37" s="18" t="s">
        <v>49</v>
      </c>
      <c r="C37" s="19">
        <f>'[4]F 4 TRI _ Granulo'!K24</f>
        <v>2.0902400000000005</v>
      </c>
      <c r="D37" s="20">
        <f>'[4]F 4 TRI _ Granulo'!H24</f>
        <v>0.19000000000000017</v>
      </c>
      <c r="E37" s="20">
        <f>'[4]F 4 TRI _ Granulo'!E24</f>
        <v>0</v>
      </c>
      <c r="F37" s="20">
        <f t="shared" si="1"/>
        <v>2.2802400000000009</v>
      </c>
      <c r="G37" s="21">
        <f t="shared" si="0"/>
        <v>2.7359087811556625E-2</v>
      </c>
      <c r="H37" s="21">
        <f>'[4]Calcul sous cat &gt;20'!N45/100</f>
        <v>2.3919685679747699E-2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'[4]F 4 TRI _ Granulo'!K25</f>
        <v>0.52256000000000058</v>
      </c>
      <c r="D38" s="20">
        <f>'[4]F 4 TRI _ Granulo'!H25</f>
        <v>4.2300000000000004</v>
      </c>
      <c r="E38" s="20">
        <f>'[4]F 4 TRI _ Granulo'!E25</f>
        <v>0</v>
      </c>
      <c r="F38" s="20">
        <f t="shared" si="1"/>
        <v>4.7525600000000008</v>
      </c>
      <c r="G38" s="21">
        <f t="shared" si="0"/>
        <v>5.7022816181494719E-2</v>
      </c>
      <c r="H38" s="21">
        <f>'[4]Calcul sous cat &gt;20'!N46/100</f>
        <v>5.6211112604807628E-2</v>
      </c>
      <c r="I38" s="496">
        <f>G38+G39+G40+G41+G42</f>
        <v>0.1625832246643957</v>
      </c>
      <c r="J38" s="496">
        <f>'[4]Calcul sous cat &gt;20'!N14/100</f>
        <v>0.15732577103998915</v>
      </c>
    </row>
    <row r="39" spans="1:10" s="1" customFormat="1" ht="15" customHeight="1" x14ac:dyDescent="0.2">
      <c r="A39" s="494"/>
      <c r="B39" s="18" t="s">
        <v>52</v>
      </c>
      <c r="C39" s="19">
        <f>'[4]F 4 TRI _ Granulo'!K26</f>
        <v>0.52256000000000058</v>
      </c>
      <c r="D39" s="20">
        <f>'[4]F 4 TRI _ Granulo'!H26</f>
        <v>1.17</v>
      </c>
      <c r="E39" s="20">
        <f>'[4]F 4 TRI _ Granulo'!E26</f>
        <v>0</v>
      </c>
      <c r="F39" s="20">
        <f t="shared" si="1"/>
        <v>1.6925600000000005</v>
      </c>
      <c r="G39" s="21">
        <f t="shared" si="0"/>
        <v>2.0307905161881325E-2</v>
      </c>
      <c r="H39" s="21">
        <f>'[4]Calcul sous cat &gt;20'!N47/100</f>
        <v>1.7896526866389938E-2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'[4]F 4 TRI _ Granulo'!K27</f>
        <v>0.26128000000000029</v>
      </c>
      <c r="D40" s="20">
        <f>'[4]F 4 TRI _ Granulo'!H27</f>
        <v>0.37000000000000011</v>
      </c>
      <c r="E40" s="20">
        <f>'[4]F 4 TRI _ Granulo'!E27</f>
        <v>0</v>
      </c>
      <c r="F40" s="20">
        <f t="shared" si="1"/>
        <v>0.6312800000000004</v>
      </c>
      <c r="G40" s="21">
        <f t="shared" si="0"/>
        <v>7.5743101400201161E-3</v>
      </c>
      <c r="H40" s="21">
        <f>'[4]Calcul sous cat &gt;20'!N48/100</f>
        <v>6.6740361942795364E-3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'[4]F 4 TRI _ Granulo'!K28</f>
        <v>1.1757599999999997</v>
      </c>
      <c r="D41" s="20">
        <f>'[4]F 4 TRI _ Granulo'!H28</f>
        <v>1.2999999999999998</v>
      </c>
      <c r="E41" s="20">
        <f>'[4]F 4 TRI _ Granulo'!E28</f>
        <v>0</v>
      </c>
      <c r="F41" s="20">
        <f t="shared" si="1"/>
        <v>2.4757599999999993</v>
      </c>
      <c r="G41" s="21">
        <f t="shared" si="0"/>
        <v>2.9705002648992816E-2</v>
      </c>
      <c r="H41" s="21">
        <f>'[4]Calcul sous cat &gt;20'!N49/100</f>
        <v>2.9269755073216767E-2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'[4]F 4 TRI _ Granulo'!K29</f>
        <v>1.6983200000000003</v>
      </c>
      <c r="D42" s="20">
        <f>'[4]F 4 TRI _ Granulo'!H29</f>
        <v>2.2999999999999998</v>
      </c>
      <c r="E42" s="20">
        <f>'[4]F 4 TRI _ Granulo'!E29</f>
        <v>0</v>
      </c>
      <c r="F42" s="20">
        <f t="shared" si="1"/>
        <v>3.9983200000000001</v>
      </c>
      <c r="G42" s="21">
        <f t="shared" si="0"/>
        <v>4.7973190532006736E-2</v>
      </c>
      <c r="H42" s="21">
        <f>'[4]Calcul sous cat &gt;20'!N50/100</f>
        <v>4.7274340301295271E-2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'[4]F 4 TRI _ Granulo'!K30</f>
        <v>0.78383999999999932</v>
      </c>
      <c r="D43" s="20">
        <f>'[4]F 4 TRI _ Granulo'!H30</f>
        <v>0.64999999999999991</v>
      </c>
      <c r="E43" s="20">
        <f>'[4]F 4 TRI _ Granulo'!E30</f>
        <v>0.34</v>
      </c>
      <c r="F43" s="20">
        <f t="shared" si="1"/>
        <v>1.7738399999999992</v>
      </c>
      <c r="G43" s="21">
        <f t="shared" si="0"/>
        <v>2.1283129987918623E-2</v>
      </c>
      <c r="H43" s="21">
        <f>J43</f>
        <v>1.8641516941560111E-2</v>
      </c>
      <c r="I43" s="238">
        <f>G43</f>
        <v>2.1283129987918623E-2</v>
      </c>
      <c r="J43" s="238">
        <f>'[4]Calcul sous cat &gt;20'!N15/100</f>
        <v>1.8641516941560111E-2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'[4]F 4 TRI _ Granulo'!K31</f>
        <v>3.5272800000000002</v>
      </c>
      <c r="D44" s="20">
        <f>'[4]F 4 TRI _ Granulo'!H31</f>
        <v>6.1899999999999995</v>
      </c>
      <c r="E44" s="20">
        <f>'[4]F 4 TRI _ Granulo'!E31</f>
        <v>0</v>
      </c>
      <c r="F44" s="20">
        <f t="shared" si="1"/>
        <v>9.7172799999999988</v>
      </c>
      <c r="G44" s="21">
        <f t="shared" si="0"/>
        <v>0.11659119952701594</v>
      </c>
      <c r="H44" s="21">
        <f>G44*J44/I44</f>
        <v>9.9898744135986484E-2</v>
      </c>
      <c r="I44" s="496">
        <f>G44+G45</f>
        <v>0.14652848997906096</v>
      </c>
      <c r="J44" s="496">
        <f>'[4]Calcul sous cat &gt;20'!N16/100</f>
        <v>0.12554988874317929</v>
      </c>
    </row>
    <row r="45" spans="1:10" s="1" customFormat="1" ht="15" customHeight="1" x14ac:dyDescent="0.2">
      <c r="A45" s="495"/>
      <c r="B45" s="18" t="s">
        <v>59</v>
      </c>
      <c r="C45" s="19">
        <f>'[4]F 4 TRI _ Granulo'!K32</f>
        <v>1.0451199999999996</v>
      </c>
      <c r="D45" s="20">
        <f>'[4]F 4 TRI _ Granulo'!H32</f>
        <v>1.4500000000000002</v>
      </c>
      <c r="E45" s="20">
        <f>'[4]F 4 TRI _ Granulo'!E32</f>
        <v>0</v>
      </c>
      <c r="F45" s="20">
        <f t="shared" si="1"/>
        <v>2.49512</v>
      </c>
      <c r="G45" s="21">
        <f t="shared" si="0"/>
        <v>2.9937290452045021E-2</v>
      </c>
      <c r="H45" s="21">
        <f>G45*J44/I44</f>
        <v>2.5651144607192818E-2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'[4]F 4 TRI _ Granulo'!K33</f>
        <v>0.52256000000000058</v>
      </c>
      <c r="D46" s="20">
        <f>'[4]F 4 TRI _ Granulo'!H33</f>
        <v>0.51000000000000023</v>
      </c>
      <c r="E46" s="20">
        <f>'[4]F 4 TRI _ Granulo'!E33</f>
        <v>0.57999999999999996</v>
      </c>
      <c r="F46" s="20">
        <f t="shared" si="1"/>
        <v>1.6125600000000007</v>
      </c>
      <c r="G46" s="21">
        <f t="shared" si="0"/>
        <v>1.9348038207120194E-2</v>
      </c>
      <c r="H46" s="21">
        <f t="shared" ref="H46:H51" si="2">G46*$J$46/$I$46</f>
        <v>1.7116192329408787E-2</v>
      </c>
      <c r="I46" s="496">
        <f>G46+G47+G50+G51+G48+G49</f>
        <v>3.6776342504718125E-2</v>
      </c>
      <c r="J46" s="496">
        <f>'[4]Calcul sous cat &gt;20'!N17/100</f>
        <v>3.2534096984123052E-2</v>
      </c>
    </row>
    <row r="47" spans="1:10" s="1" customFormat="1" ht="15" customHeight="1" x14ac:dyDescent="0.2">
      <c r="A47" s="494"/>
      <c r="B47" s="18" t="s">
        <v>62</v>
      </c>
      <c r="C47" s="19">
        <f>'[4]F 4 TRI _ Granulo'!K34</f>
        <v>0.52256000000000058</v>
      </c>
      <c r="D47" s="20">
        <f>'[4]F 4 TRI _ Granulo'!H34</f>
        <v>0.13000000000000012</v>
      </c>
      <c r="E47" s="20">
        <f>'[4]F 4 TRI _ Granulo'!E34</f>
        <v>0</v>
      </c>
      <c r="F47" s="20">
        <f t="shared" si="1"/>
        <v>0.6525600000000007</v>
      </c>
      <c r="G47" s="21">
        <f t="shared" si="0"/>
        <v>7.8296347499865818E-3</v>
      </c>
      <c r="H47" s="21">
        <f t="shared" si="2"/>
        <v>6.9264662812416307E-3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'[4]F 4 TRI _ Granulo'!K35</f>
        <v>0</v>
      </c>
      <c r="D48" s="20">
        <f>'[4]F 4 TRI _ Granulo'!H35</f>
        <v>0</v>
      </c>
      <c r="E48" s="20">
        <f>'[4]F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'[4]F 4 TRI _ Granulo'!K36</f>
        <v>0</v>
      </c>
      <c r="D49" s="20">
        <f>'[4]F 4 TRI _ Granulo'!H36</f>
        <v>0</v>
      </c>
      <c r="E49" s="20">
        <f>'[4]F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'[4]F 4 TRI _ Granulo'!K37</f>
        <v>0</v>
      </c>
      <c r="D50" s="20">
        <f>'[4]F 4 TRI _ Granulo'!H37</f>
        <v>0.55000000000000027</v>
      </c>
      <c r="E50" s="20">
        <f>'[4]F 4 TRI _ Granulo'!E37</f>
        <v>0</v>
      </c>
      <c r="F50" s="20">
        <f t="shared" si="1"/>
        <v>0.55000000000000027</v>
      </c>
      <c r="G50" s="21">
        <f t="shared" si="0"/>
        <v>6.5990853139828018E-3</v>
      </c>
      <c r="H50" s="21">
        <f t="shared" si="2"/>
        <v>5.8378638817624352E-3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'[4]F 4 TRI _ Granulo'!K38</f>
        <v>0</v>
      </c>
      <c r="D51" s="20">
        <f>'[4]F 4 TRI _ Granulo'!H38</f>
        <v>0.25</v>
      </c>
      <c r="E51" s="20">
        <f>'[4]F 4 TRI _ Granulo'!E38</f>
        <v>0</v>
      </c>
      <c r="F51" s="20">
        <f t="shared" si="1"/>
        <v>0.25</v>
      </c>
      <c r="G51" s="21">
        <f t="shared" si="0"/>
        <v>2.9995842336285449E-3</v>
      </c>
      <c r="H51" s="21">
        <f t="shared" si="2"/>
        <v>2.6535744917101966E-3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'[4]F 4 TRI _ Granulo'!K39</f>
        <v>0.78383999999999932</v>
      </c>
      <c r="D52" s="20">
        <f>'[4]F 4 TRI _ Granulo'!H39</f>
        <v>0.22999999999999998</v>
      </c>
      <c r="E52" s="20">
        <f>'[4]F 4 TRI _ Granulo'!E39</f>
        <v>0</v>
      </c>
      <c r="F52" s="20">
        <f t="shared" si="1"/>
        <v>1.0138399999999992</v>
      </c>
      <c r="G52" s="21">
        <f t="shared" si="0"/>
        <v>1.2164393917687847E-2</v>
      </c>
      <c r="H52" s="21">
        <f>J52</f>
        <v>1.1900236398239538E-2</v>
      </c>
      <c r="I52" s="241">
        <f>G52</f>
        <v>1.2164393917687847E-2</v>
      </c>
      <c r="J52" s="241">
        <f>'[4]Calcul sous cat &gt;20'!N18/100</f>
        <v>1.1900236398239538E-2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'[4]F 4 TRI _ Granulo'!K40</f>
        <v>0</v>
      </c>
      <c r="D53" s="20">
        <f>'[4]F 4 TRI _ Granulo'!H40</f>
        <v>0.17999999999999994</v>
      </c>
      <c r="E53" s="20">
        <f>'[4]F 4 TRI _ Granulo'!E40</f>
        <v>0</v>
      </c>
      <c r="F53" s="20">
        <f t="shared" si="1"/>
        <v>0.17999999999999994</v>
      </c>
      <c r="G53" s="21">
        <f t="shared" si="0"/>
        <v>2.1597006482125514E-3</v>
      </c>
      <c r="H53" s="243">
        <f>G53*J53/I53</f>
        <v>1.8895273866967456E-3</v>
      </c>
      <c r="I53" s="496">
        <f>SUM(G53:G62)</f>
        <v>5.059506711893676E-3</v>
      </c>
      <c r="J53" s="496">
        <f>'[4]Calcul sous cat &gt;20'!N19/100</f>
        <v>4.4265748140657254E-3</v>
      </c>
    </row>
    <row r="54" spans="1:10" s="1" customFormat="1" ht="15" customHeight="1" x14ac:dyDescent="0.2">
      <c r="A54" s="494"/>
      <c r="B54" s="18" t="s">
        <v>70</v>
      </c>
      <c r="C54" s="19">
        <f>'[4]F 4 TRI _ Granulo'!K41</f>
        <v>0</v>
      </c>
      <c r="D54" s="20">
        <f>'[4]F 4 TRI _ Granulo'!H41</f>
        <v>0</v>
      </c>
      <c r="E54" s="20">
        <f>'[4]F 4 TRI _ Granulo'!E41</f>
        <v>0</v>
      </c>
      <c r="F54" s="20">
        <f t="shared" si="1"/>
        <v>0</v>
      </c>
      <c r="G54" s="21">
        <f t="shared" si="0"/>
        <v>0</v>
      </c>
      <c r="H54" s="243">
        <f>G54*J53/I53</f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'[4]F 4 TRI _ Granulo'!K42</f>
        <v>0</v>
      </c>
      <c r="D55" s="20">
        <f>'[4]F 4 TRI _ Granulo'!H42</f>
        <v>0</v>
      </c>
      <c r="E55" s="20">
        <f>'[4]F 4 TRI _ Granulo'!E42</f>
        <v>0</v>
      </c>
      <c r="F55" s="20">
        <f>SUM(C55:E55)</f>
        <v>0</v>
      </c>
      <c r="G55" s="21">
        <f t="shared" si="0"/>
        <v>0</v>
      </c>
      <c r="H55" s="243">
        <f>G55*J53/I53</f>
        <v>0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'[4]F 4 TRI _ Granulo'!K43</f>
        <v>0</v>
      </c>
      <c r="D56" s="20">
        <f>'[4]F 4 TRI _ Granulo'!H43</f>
        <v>0</v>
      </c>
      <c r="E56" s="20">
        <f>'[4]F 4 TRI _ Granulo'!E43</f>
        <v>0</v>
      </c>
      <c r="F56" s="20">
        <f t="shared" si="1"/>
        <v>0</v>
      </c>
      <c r="G56" s="21">
        <f>F56/$F$64</f>
        <v>0</v>
      </c>
      <c r="H56" s="243">
        <f>G56*J53/I53</f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'[4]F 4 TRI _ Granulo'!K44</f>
        <v>0</v>
      </c>
      <c r="D57" s="20">
        <f>'[4]F 4 TRI _ Granulo'!H44</f>
        <v>0</v>
      </c>
      <c r="E57" s="20">
        <f>'[4]F 4 TRI _ Granulo'!E44</f>
        <v>0</v>
      </c>
      <c r="F57" s="20">
        <f t="shared" si="1"/>
        <v>0</v>
      </c>
      <c r="G57" s="21">
        <f t="shared" ref="G57:G62" si="3">F57/$F$64</f>
        <v>0</v>
      </c>
      <c r="H57" s="243">
        <f>G57*J53/I53</f>
        <v>0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'[4]F 4 TRI _ Granulo'!K45</f>
        <v>0</v>
      </c>
      <c r="D58" s="20">
        <f>'[4]F 4 TRI _ Granulo'!H45</f>
        <v>0</v>
      </c>
      <c r="E58" s="20">
        <f>'[4]F 4 TRI _ Granulo'!E45</f>
        <v>0</v>
      </c>
      <c r="F58" s="20">
        <f t="shared" si="1"/>
        <v>0</v>
      </c>
      <c r="G58" s="21">
        <f t="shared" si="3"/>
        <v>0</v>
      </c>
      <c r="H58" s="243">
        <f>G58*J53/I53</f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'[4]F 4 TRI _ Granulo'!K46</f>
        <v>0.15676800000000002</v>
      </c>
      <c r="D59" s="20">
        <f>'[4]F 4 TRI _ Granulo'!H46</f>
        <v>0</v>
      </c>
      <c r="E59" s="20">
        <f>'[4]F 4 TRI _ Granulo'!E46</f>
        <v>0</v>
      </c>
      <c r="F59" s="20">
        <f t="shared" si="1"/>
        <v>0.15676800000000002</v>
      </c>
      <c r="G59" s="21">
        <f t="shared" si="3"/>
        <v>1.8809552845499191E-3</v>
      </c>
      <c r="H59" s="243">
        <f>G59*J53/I53</f>
        <v>1.6456523853204197E-3</v>
      </c>
      <c r="I59" s="496"/>
      <c r="J59" s="496"/>
    </row>
    <row r="60" spans="1:10" ht="25.5" x14ac:dyDescent="0.25">
      <c r="A60" s="494"/>
      <c r="B60" s="18" t="s">
        <v>125</v>
      </c>
      <c r="C60" s="19">
        <f>'[4]F 4 TRI _ Granulo'!K47</f>
        <v>0</v>
      </c>
      <c r="D60" s="20">
        <f>'[4]F 4 TRI _ Granulo'!H47</f>
        <v>0</v>
      </c>
      <c r="E60" s="20">
        <f>'[4]F 4 TRI _ Granulo'!E47</f>
        <v>0</v>
      </c>
      <c r="F60" s="20">
        <f t="shared" si="1"/>
        <v>0</v>
      </c>
      <c r="G60" s="21">
        <f t="shared" si="3"/>
        <v>0</v>
      </c>
      <c r="H60" s="243">
        <f>G60*J53/I53</f>
        <v>0</v>
      </c>
      <c r="I60" s="496"/>
      <c r="J60" s="496"/>
    </row>
    <row r="61" spans="1:10" ht="38.25" x14ac:dyDescent="0.25">
      <c r="A61" s="494"/>
      <c r="B61" s="18" t="s">
        <v>126</v>
      </c>
      <c r="C61" s="19">
        <f>'[4]F 4 TRI _ Granulo'!K48</f>
        <v>8.4916000000000005E-2</v>
      </c>
      <c r="D61" s="20">
        <f>'[4]F 4 TRI _ Granulo'!H48</f>
        <v>0</v>
      </c>
      <c r="E61" s="20">
        <f>'[4]F 4 TRI _ Granulo'!E48</f>
        <v>0</v>
      </c>
      <c r="F61" s="20">
        <f t="shared" si="1"/>
        <v>8.4916000000000005E-2</v>
      </c>
      <c r="G61" s="21">
        <f t="shared" si="3"/>
        <v>1.0188507791312061E-3</v>
      </c>
      <c r="H61" s="243">
        <f>G61*J53/I53</f>
        <v>8.9139504204856061E-4</v>
      </c>
      <c r="I61" s="496"/>
      <c r="J61" s="496"/>
    </row>
    <row r="62" spans="1:10" ht="51" x14ac:dyDescent="0.25">
      <c r="A62" s="506"/>
      <c r="B62" s="18" t="s">
        <v>73</v>
      </c>
      <c r="C62" s="19">
        <f>'[4]F 4 TRI _ Granulo'!K49</f>
        <v>0</v>
      </c>
      <c r="D62" s="20">
        <f>'[4]F 4 TRI _ Granulo'!H49</f>
        <v>0</v>
      </c>
      <c r="E62" s="20">
        <f>'[4]F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96"/>
      <c r="J62" s="496"/>
    </row>
    <row r="63" spans="1:10" x14ac:dyDescent="0.25">
      <c r="A63" s="22" t="s">
        <v>74</v>
      </c>
      <c r="B63" s="23">
        <f>'[4]F 3 _ Criblage et Tri'!C27+'[4]F 3 _ Criblage et Tri'!D27</f>
        <v>6.7200000000000006</v>
      </c>
      <c r="C63" s="19">
        <f>'[4]F 4 TRI _ Granulo'!K50</f>
        <v>0.65320000000000067</v>
      </c>
      <c r="D63" s="20">
        <f>'[4]F 4 TRI _ Granulo'!H50</f>
        <v>0</v>
      </c>
      <c r="E63" s="20">
        <f>'[4]F 4 TRI _ Granulo'!E50</f>
        <v>0</v>
      </c>
      <c r="F63" s="19">
        <f>SUM(B63:E63)</f>
        <v>7.3732000000000015</v>
      </c>
      <c r="G63" s="21">
        <f t="shared" si="0"/>
        <v>8.8466137885559973E-2</v>
      </c>
      <c r="H63" s="21">
        <f>J63</f>
        <v>4.3381492015019466E-2</v>
      </c>
      <c r="I63" s="24">
        <f>G63</f>
        <v>8.8466137885559973E-2</v>
      </c>
      <c r="J63" s="24">
        <f>'[4]Calcul sous cat &gt;20'!N20/100</f>
        <v>4.3381492015019466E-2</v>
      </c>
    </row>
    <row r="64" spans="1:10" x14ac:dyDescent="0.25">
      <c r="A64" s="25" t="s">
        <v>25</v>
      </c>
      <c r="B64" s="90">
        <f>B63</f>
        <v>6.7200000000000006</v>
      </c>
      <c r="C64" s="19">
        <f>SUM(C18:C63)</f>
        <v>33.554884000000008</v>
      </c>
      <c r="D64" s="19">
        <f>SUM(D18:D63)</f>
        <v>41.690000000000005</v>
      </c>
      <c r="E64" s="19">
        <f>SUM(E18:E63)</f>
        <v>1.38</v>
      </c>
      <c r="F64" s="19">
        <f>SUM(B64:E64)</f>
        <v>83.344884000000008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44">
        <f>B64/$F$64</f>
        <v>8.0628824199935292E-2</v>
      </c>
      <c r="C65" s="244">
        <f>C64/$F$64</f>
        <v>0.402602804030539</v>
      </c>
      <c r="D65" s="244">
        <f>D64/$F$64</f>
        <v>0.50021066679989623</v>
      </c>
      <c r="E65" s="244">
        <f>E64/$F$64</f>
        <v>1.6557704969629567E-2</v>
      </c>
      <c r="F65" s="244">
        <f>F64/$F$64</f>
        <v>1</v>
      </c>
      <c r="G65" s="1"/>
      <c r="H65" s="1"/>
      <c r="I65" s="1"/>
      <c r="J65" s="1"/>
    </row>
  </sheetData>
  <mergeCells count="39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'[5]F 1 _ Echant et Séchage'!D5</f>
        <v>ROM-H15-PB-BAN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'[5]F 1 _ Echant et Séchage'!D6</f>
        <v>Rosny-sous-Bois CB 277 AQ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'[5]F 1 _ Echant et Séchage'!D8</f>
        <v>Romainville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'[5]F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'[5]F 1 _ Echant et Séchage'!B12</f>
        <v>42046</v>
      </c>
      <c r="D9" s="485" t="s">
        <v>6</v>
      </c>
      <c r="E9" s="485"/>
      <c r="F9" s="485"/>
      <c r="G9" s="6">
        <f>'[5]F 1 _ Echant et Séchage'!G19</f>
        <v>127.50000000000001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'[5]F 1 _ Echant et Séchage'!E12</f>
        <v>0.38541666666666669</v>
      </c>
      <c r="D10" s="485" t="s">
        <v>9</v>
      </c>
      <c r="E10" s="485"/>
      <c r="F10" s="485"/>
      <c r="G10" s="236">
        <f>'[5]F 1 _ Echant et Séchage'!H26</f>
        <v>0.5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0.255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45">
        <f>'[5]F 1 _ Echant et Séchage'!D51</f>
        <v>0.36847058823529411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'[5]F 4 TRI _ Granulo'!K5</f>
        <v>1.0391095890410968</v>
      </c>
      <c r="D18" s="20">
        <f>'[5]F 4 TRI _ Granulo'!H5</f>
        <v>0.15000000000000013</v>
      </c>
      <c r="E18" s="20">
        <f>'[5]F 4 TRI _ Granulo'!E5</f>
        <v>0</v>
      </c>
      <c r="F18" s="20">
        <f>SUM(C18:E18)</f>
        <v>1.189109589041097</v>
      </c>
      <c r="G18" s="21">
        <f t="shared" ref="G18:G64" si="0">F18/$F$64</f>
        <v>1.4791608801522709E-2</v>
      </c>
      <c r="H18" s="21">
        <f>G18*J18/I18</f>
        <v>3.4948680038619576E-2</v>
      </c>
      <c r="I18" s="492">
        <f>G18+G19+G20+G21+G22</f>
        <v>5.3324256670750608E-2</v>
      </c>
      <c r="J18" s="492">
        <f>'[5]Calcul sous cat &gt;20'!N8/100</f>
        <v>0.1259911893080515</v>
      </c>
    </row>
    <row r="19" spans="1:10" s="1" customFormat="1" ht="15" customHeight="1" x14ac:dyDescent="0.2">
      <c r="A19" s="498"/>
      <c r="B19" s="18" t="s">
        <v>27</v>
      </c>
      <c r="C19" s="19">
        <f>'[5]F 4 TRI _ Granulo'!K6</f>
        <v>2.4778767123287677</v>
      </c>
      <c r="D19" s="20">
        <f>'[5]F 4 TRI _ Granulo'!H6</f>
        <v>0.37000000000000011</v>
      </c>
      <c r="E19" s="20">
        <f>'[5]F 4 TRI _ Granulo'!E6</f>
        <v>0</v>
      </c>
      <c r="F19" s="20">
        <f>SUM(C19:E19)</f>
        <v>2.8478767123287678</v>
      </c>
      <c r="G19" s="21">
        <f t="shared" si="0"/>
        <v>3.5425396138385593E-2</v>
      </c>
      <c r="H19" s="21">
        <f>G19*J18/I18</f>
        <v>8.3700890923665811E-2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'[5]F 4 TRI _ Granulo'!K7</f>
        <v>0</v>
      </c>
      <c r="D20" s="20">
        <f>'[5]F 4 TRI _ Granulo'!H7</f>
        <v>0</v>
      </c>
      <c r="E20" s="20">
        <f>'[5]F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'[5]F 4 TRI _ Granulo'!K8</f>
        <v>0.23979452054794542</v>
      </c>
      <c r="D21" s="20">
        <f>'[5]F 4 TRI _ Granulo'!H8</f>
        <v>0</v>
      </c>
      <c r="E21" s="20">
        <f>'[5]F 4 TRI _ Granulo'!E8</f>
        <v>0</v>
      </c>
      <c r="F21" s="20">
        <f t="shared" si="1"/>
        <v>0.23979452054794542</v>
      </c>
      <c r="G21" s="21">
        <f t="shared" si="0"/>
        <v>2.9828594213542423E-3</v>
      </c>
      <c r="H21" s="21">
        <f>G21*J18/I18</f>
        <v>7.0477120451130186E-3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'[5]F 4 TRI _ Granulo'!K9</f>
        <v>0</v>
      </c>
      <c r="D22" s="20">
        <f>'[5]F 4 TRI _ Granulo'!H9</f>
        <v>1.0000000000000009E-2</v>
      </c>
      <c r="E22" s="20">
        <f>'[5]F 4 TRI _ Granulo'!E9</f>
        <v>0</v>
      </c>
      <c r="F22" s="20">
        <f t="shared" si="1"/>
        <v>1.0000000000000009E-2</v>
      </c>
      <c r="G22" s="21">
        <f t="shared" si="0"/>
        <v>1.2439230948806609E-4</v>
      </c>
      <c r="H22" s="21">
        <f>G22*J18/I18</f>
        <v>2.9390630065309934E-4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'[5]F 4 TRI _ Granulo'!K10</f>
        <v>0.559520547945206</v>
      </c>
      <c r="D23" s="20">
        <f>'[5]F 4 TRI _ Granulo'!H10</f>
        <v>0.22999999999999998</v>
      </c>
      <c r="E23" s="20">
        <f>'[5]F 4 TRI _ Granulo'!E10</f>
        <v>0</v>
      </c>
      <c r="F23" s="20">
        <f t="shared" si="1"/>
        <v>0.78952054794520599</v>
      </c>
      <c r="G23" s="21">
        <f t="shared" si="0"/>
        <v>9.8210284347187496E-3</v>
      </c>
      <c r="H23" s="21">
        <f>'[5]Calcul sous cat &gt;20'!N32/100</f>
        <v>9.7432940684155801E-3</v>
      </c>
      <c r="I23" s="496">
        <f>G23+G24+G25+G26+G27</f>
        <v>0.10083445087611378</v>
      </c>
      <c r="J23" s="496">
        <f>'[5]Calcul sous cat &gt;20'!N9/100</f>
        <v>9.7627891623808388E-2</v>
      </c>
    </row>
    <row r="24" spans="1:10" s="1" customFormat="1" ht="15" customHeight="1" x14ac:dyDescent="0.2">
      <c r="A24" s="494"/>
      <c r="B24" s="18" t="s">
        <v>33</v>
      </c>
      <c r="C24" s="19">
        <f>'[5]F 4 TRI _ Granulo'!K11</f>
        <v>0</v>
      </c>
      <c r="D24" s="20">
        <f>'[5]F 4 TRI _ Granulo'!H11</f>
        <v>0.51000000000000023</v>
      </c>
      <c r="E24" s="20">
        <f>'[5]F 4 TRI _ Granulo'!E11</f>
        <v>0</v>
      </c>
      <c r="F24" s="20">
        <f t="shared" si="1"/>
        <v>0.51000000000000023</v>
      </c>
      <c r="G24" s="21">
        <f t="shared" si="0"/>
        <v>6.3440077838913672E-3</v>
      </c>
      <c r="H24" s="21">
        <f>'[5]Calcul sous cat &gt;20'!N33/100</f>
        <v>6.0930158221261677E-3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'[5]F 4 TRI _ Granulo'!K12</f>
        <v>1.6785616438356179</v>
      </c>
      <c r="D25" s="20">
        <f>'[5]F 4 TRI _ Granulo'!H12</f>
        <v>2.13</v>
      </c>
      <c r="E25" s="20">
        <f>'[5]F 4 TRI _ Granulo'!E12</f>
        <v>0</v>
      </c>
      <c r="F25" s="20">
        <f t="shared" si="1"/>
        <v>3.8085616438356178</v>
      </c>
      <c r="G25" s="21">
        <f t="shared" si="0"/>
        <v>4.7375577870437745E-2</v>
      </c>
      <c r="H25" s="21">
        <f>'[5]Calcul sous cat &gt;20'!N34/100</f>
        <v>4.550122814790835E-2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'[5]F 4 TRI _ Granulo'!K13</f>
        <v>1.9982876712328768</v>
      </c>
      <c r="D26" s="20">
        <f>'[5]F 4 TRI _ Granulo'!H13</f>
        <v>0.57000000000000028</v>
      </c>
      <c r="E26" s="20">
        <f>'[5]F 4 TRI _ Granulo'!E13</f>
        <v>0</v>
      </c>
      <c r="F26" s="20">
        <f t="shared" si="1"/>
        <v>2.568287671232877</v>
      </c>
      <c r="G26" s="21">
        <f t="shared" si="0"/>
        <v>3.1947523485438431E-2</v>
      </c>
      <c r="H26" s="21">
        <f>'[5]Calcul sous cat &gt;20'!N35/100</f>
        <v>3.099400116793237E-2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'[5]F 4 TRI _ Granulo'!K14</f>
        <v>0.23979452054794542</v>
      </c>
      <c r="D27" s="20">
        <f>'[5]F 4 TRI _ Granulo'!H14</f>
        <v>0.19000000000000017</v>
      </c>
      <c r="E27" s="20">
        <f>'[5]F 4 TRI _ Granulo'!E14</f>
        <v>0</v>
      </c>
      <c r="F27" s="20">
        <f t="shared" si="1"/>
        <v>0.42979452054794559</v>
      </c>
      <c r="G27" s="21">
        <f t="shared" si="0"/>
        <v>5.3463133016274983E-3</v>
      </c>
      <c r="H27" s="21">
        <f>'[5]Calcul sous cat &gt;20'!N36/100</f>
        <v>5.2963524174259435E-3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'[5]F 4 TRI _ Granulo'!K15</f>
        <v>2.6377397260273976</v>
      </c>
      <c r="D28" s="20">
        <f>'[5]F 4 TRI _ Granulo'!H15</f>
        <v>1.35</v>
      </c>
      <c r="E28" s="20">
        <f>'[5]F 4 TRI _ Granulo'!E15</f>
        <v>0</v>
      </c>
      <c r="F28" s="20">
        <f t="shared" si="1"/>
        <v>3.9877397260273977</v>
      </c>
      <c r="G28" s="21">
        <f t="shared" si="0"/>
        <v>4.9604415415785551E-2</v>
      </c>
      <c r="H28" s="21">
        <f>'[5]Calcul sous cat &gt;20'!N37/100</f>
        <v>4.7954859076234105E-2</v>
      </c>
      <c r="I28" s="496">
        <f>G28+G29+G30</f>
        <v>8.7911282723271408E-2</v>
      </c>
      <c r="J28" s="496">
        <f>'[5]Calcul sous cat &gt;20'!N10/100</f>
        <v>8.5125191559184382E-2</v>
      </c>
    </row>
    <row r="29" spans="1:10" s="1" customFormat="1" ht="15" customHeight="1" x14ac:dyDescent="0.2">
      <c r="A29" s="494"/>
      <c r="B29" s="18" t="s">
        <v>39</v>
      </c>
      <c r="C29" s="19">
        <f>'[5]F 4 TRI _ Granulo'!K16</f>
        <v>0.559520547945206</v>
      </c>
      <c r="D29" s="20">
        <f>'[5]F 4 TRI _ Granulo'!H16</f>
        <v>2.0300000000000002</v>
      </c>
      <c r="E29" s="20">
        <f>'[5]F 4 TRI _ Granulo'!E16</f>
        <v>0</v>
      </c>
      <c r="F29" s="20">
        <f t="shared" si="1"/>
        <v>2.5895205479452064</v>
      </c>
      <c r="G29" s="21">
        <f t="shared" si="0"/>
        <v>3.2211644142570627E-2</v>
      </c>
      <c r="H29" s="21">
        <f>'[5]Calcul sous cat &gt;20'!N38/100</f>
        <v>3.1153198033181426E-2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'[5]F 4 TRI _ Granulo'!K17</f>
        <v>0</v>
      </c>
      <c r="D30" s="20">
        <f>'[5]F 4 TRI _ Granulo'!H17</f>
        <v>0.49000000000000021</v>
      </c>
      <c r="E30" s="20">
        <f>'[5]F 4 TRI _ Granulo'!E17</f>
        <v>0</v>
      </c>
      <c r="F30" s="20">
        <f t="shared" si="1"/>
        <v>0.49000000000000021</v>
      </c>
      <c r="G30" s="21">
        <f t="shared" si="0"/>
        <v>6.0952231649152354E-3</v>
      </c>
      <c r="H30" s="21">
        <f>'[5]Calcul sous cat &gt;20'!N39/100</f>
        <v>6.0171344497688597E-3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'[5]F 4 TRI _ Granulo'!K18</f>
        <v>1.0391095890410968</v>
      </c>
      <c r="D31" s="20">
        <f>'[5]F 4 TRI _ Granulo'!H18</f>
        <v>0.33000000000000007</v>
      </c>
      <c r="E31" s="20">
        <f>'[5]F 4 TRI _ Granulo'!E18</f>
        <v>0</v>
      </c>
      <c r="F31" s="20">
        <f t="shared" si="1"/>
        <v>1.3691095890410969</v>
      </c>
      <c r="G31" s="21">
        <f t="shared" si="0"/>
        <v>1.7030670372307894E-2</v>
      </c>
      <c r="H31" s="175">
        <f>G31*J31/I31</f>
        <v>2.0758493868168602E-2</v>
      </c>
      <c r="I31" s="503">
        <f>G31+G32+G33+G34</f>
        <v>1.9517664559949435E-2</v>
      </c>
      <c r="J31" s="503">
        <f>'[5]Calcul sous cat &gt;20'!N11/100</f>
        <v>2.3789863301416095E-2</v>
      </c>
    </row>
    <row r="32" spans="1:10" s="1" customFormat="1" ht="15" customHeight="1" x14ac:dyDescent="0.2">
      <c r="A32" s="501"/>
      <c r="B32" s="18" t="s">
        <v>43</v>
      </c>
      <c r="C32" s="19">
        <f>'[5]F 4 TRI _ Granulo'!K19</f>
        <v>7.9931506849315145E-2</v>
      </c>
      <c r="D32" s="20">
        <f>'[5]F 4 TRI _ Granulo'!H19</f>
        <v>0.05</v>
      </c>
      <c r="E32" s="20">
        <f>'[5]F 4 TRI _ Granulo'!E19</f>
        <v>0</v>
      </c>
      <c r="F32" s="20">
        <f t="shared" si="1"/>
        <v>0.12993150684931515</v>
      </c>
      <c r="G32" s="21">
        <f t="shared" si="0"/>
        <v>1.6162480212250775E-3</v>
      </c>
      <c r="H32" s="175">
        <f>G32*J31/I31</f>
        <v>1.9700266580577235E-3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'[5]F 4 TRI _ Granulo'!K20</f>
        <v>0</v>
      </c>
      <c r="D33" s="20">
        <f>'[5]F 4 TRI _ Granulo'!H20</f>
        <v>0</v>
      </c>
      <c r="E33" s="20">
        <f>'[5]F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'[5]F 4 TRI _ Granulo'!K21</f>
        <v>0</v>
      </c>
      <c r="D34" s="20">
        <f>'[5]F 4 TRI _ Granulo'!H21</f>
        <v>7.0000000000000062E-2</v>
      </c>
      <c r="E34" s="20">
        <f>'[5]F 4 TRI _ Granulo'!E21</f>
        <v>0</v>
      </c>
      <c r="F34" s="20">
        <f t="shared" si="1"/>
        <v>7.0000000000000062E-2</v>
      </c>
      <c r="G34" s="21">
        <f t="shared" si="0"/>
        <v>8.7074616641646257E-4</v>
      </c>
      <c r="H34" s="175">
        <f>G34*J31/I31</f>
        <v>1.0613427751897701E-3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'[5]F 4 TRI _ Granulo'!K22</f>
        <v>0.39965753424657569</v>
      </c>
      <c r="D35" s="20">
        <f>'[5]F 4 TRI _ Granulo'!H22</f>
        <v>0.15000000000000013</v>
      </c>
      <c r="E35" s="20">
        <f>'[5]F 4 TRI _ Granulo'!E22</f>
        <v>0</v>
      </c>
      <c r="F35" s="20">
        <f t="shared" si="1"/>
        <v>0.54965753424657582</v>
      </c>
      <c r="G35" s="21">
        <f t="shared" si="0"/>
        <v>6.8373170112447281E-3</v>
      </c>
      <c r="H35" s="21">
        <f>'[5]Calcul sous cat &gt;20'!N43/100</f>
        <v>6.6155993787452641E-3</v>
      </c>
      <c r="I35" s="238">
        <f>G35</f>
        <v>6.8373170112447281E-3</v>
      </c>
      <c r="J35" s="238">
        <f>'[5]Calcul sous cat &gt;20'!N12/100</f>
        <v>6.6155993787452641E-3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'[5]F 4 TRI _ Granulo'!K23</f>
        <v>12.868972602739726</v>
      </c>
      <c r="D36" s="20">
        <f>'[5]F 4 TRI _ Granulo'!H23</f>
        <v>0.87000000000000011</v>
      </c>
      <c r="E36" s="20">
        <f>'[5]F 4 TRI _ Granulo'!E23</f>
        <v>0</v>
      </c>
      <c r="F36" s="20">
        <f t="shared" si="1"/>
        <v>13.738972602739725</v>
      </c>
      <c r="G36" s="21">
        <f t="shared" si="0"/>
        <v>0.17090225320480593</v>
      </c>
      <c r="H36" s="21">
        <f>'[5]Calcul sous cat &gt;20'!N44/100</f>
        <v>0.17017823463710463</v>
      </c>
      <c r="I36" s="496">
        <f>G36+G37</f>
        <v>0.22024595597193841</v>
      </c>
      <c r="J36" s="496">
        <f>'[5]Calcul sous cat &gt;20'!N13/100</f>
        <v>0.21898216099394371</v>
      </c>
    </row>
    <row r="37" spans="1:10" s="1" customFormat="1" ht="15" customHeight="1" x14ac:dyDescent="0.2">
      <c r="A37" s="495"/>
      <c r="B37" s="18" t="s">
        <v>49</v>
      </c>
      <c r="C37" s="19">
        <f>'[5]F 4 TRI _ Granulo'!K24</f>
        <v>3.7567808219178098</v>
      </c>
      <c r="D37" s="20">
        <f>'[5]F 4 TRI _ Granulo'!H24</f>
        <v>0.21000000000000019</v>
      </c>
      <c r="E37" s="20">
        <f>'[5]F 4 TRI _ Granulo'!E24</f>
        <v>0</v>
      </c>
      <c r="F37" s="20">
        <f t="shared" si="1"/>
        <v>3.9667808219178102</v>
      </c>
      <c r="G37" s="21">
        <f t="shared" si="0"/>
        <v>4.93437027671325E-2</v>
      </c>
      <c r="H37" s="21">
        <f>'[5]Calcul sous cat &gt;20'!N45/100</f>
        <v>4.8803926356839049E-2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'[5]F 4 TRI _ Granulo'!K25</f>
        <v>1.0391095890410968</v>
      </c>
      <c r="D38" s="20">
        <f>'[5]F 4 TRI _ Granulo'!H25</f>
        <v>3.1799999999999997</v>
      </c>
      <c r="E38" s="20">
        <f>'[5]F 4 TRI _ Granulo'!E25</f>
        <v>0</v>
      </c>
      <c r="F38" s="20">
        <f t="shared" si="1"/>
        <v>4.2191095890410963</v>
      </c>
      <c r="G38" s="21">
        <f t="shared" si="0"/>
        <v>5.2482478576406692E-2</v>
      </c>
      <c r="H38" s="21">
        <f>'[5]Calcul sous cat &gt;20'!N46/100</f>
        <v>5.9085151031911864E-2</v>
      </c>
      <c r="I38" s="496">
        <f>G38+G39+G40+G41+G42</f>
        <v>0.15591894392633249</v>
      </c>
      <c r="J38" s="496">
        <f>'[5]Calcul sous cat &gt;20'!N14/100</f>
        <v>0.17020445402773865</v>
      </c>
    </row>
    <row r="39" spans="1:10" s="1" customFormat="1" ht="15" customHeight="1" x14ac:dyDescent="0.2">
      <c r="A39" s="494"/>
      <c r="B39" s="18" t="s">
        <v>52</v>
      </c>
      <c r="C39" s="19">
        <f>'[5]F 4 TRI _ Granulo'!K26</f>
        <v>1.0391095890410968</v>
      </c>
      <c r="D39" s="20">
        <f>'[5]F 4 TRI _ Granulo'!H26</f>
        <v>1.08</v>
      </c>
      <c r="E39" s="20">
        <f>'[5]F 4 TRI _ Granulo'!E26</f>
        <v>0</v>
      </c>
      <c r="F39" s="20">
        <f t="shared" si="1"/>
        <v>2.1191095890410967</v>
      </c>
      <c r="G39" s="21">
        <f t="shared" si="0"/>
        <v>2.6360093583912839E-2</v>
      </c>
      <c r="H39" s="21">
        <f>'[5]Calcul sous cat &gt;20'!N47/100</f>
        <v>2.6538922362141525E-2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'[5]F 4 TRI _ Granulo'!K27</f>
        <v>1.0391095890410968</v>
      </c>
      <c r="D40" s="20">
        <f>'[5]F 4 TRI _ Granulo'!H27</f>
        <v>0.43000000000000016</v>
      </c>
      <c r="E40" s="20">
        <f>'[5]F 4 TRI _ Granulo'!E27</f>
        <v>0</v>
      </c>
      <c r="F40" s="20">
        <f t="shared" si="1"/>
        <v>1.469109589041097</v>
      </c>
      <c r="G40" s="21">
        <f t="shared" si="0"/>
        <v>1.8274593467188557E-2</v>
      </c>
      <c r="H40" s="21">
        <f>'[5]Calcul sous cat &gt;20'!N48/100</f>
        <v>1.8397065605974931E-2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'[5]F 4 TRI _ Granulo'!K28</f>
        <v>2.6377397260273976</v>
      </c>
      <c r="D41" s="20">
        <f>'[5]F 4 TRI _ Granulo'!H28</f>
        <v>0.75999999999999979</v>
      </c>
      <c r="E41" s="20">
        <f>'[5]F 4 TRI _ Granulo'!E28</f>
        <v>0</v>
      </c>
      <c r="F41" s="20">
        <f t="shared" si="1"/>
        <v>3.3977397260273974</v>
      </c>
      <c r="G41" s="21">
        <f t="shared" si="0"/>
        <v>4.2265269155989653E-2</v>
      </c>
      <c r="H41" s="21">
        <f>'[5]Calcul sous cat &gt;20'!N49/100</f>
        <v>4.7570232721020102E-2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'[5]F 4 TRI _ Granulo'!K29</f>
        <v>0.71938356164383621</v>
      </c>
      <c r="D42" s="20">
        <f>'[5]F 4 TRI _ Granulo'!H29</f>
        <v>0.60999999999999988</v>
      </c>
      <c r="E42" s="20">
        <f>'[5]F 4 TRI _ Granulo'!E29</f>
        <v>0</v>
      </c>
      <c r="F42" s="20">
        <f t="shared" si="1"/>
        <v>1.3293835616438361</v>
      </c>
      <c r="G42" s="21">
        <f t="shared" si="0"/>
        <v>1.6536509142834749E-2</v>
      </c>
      <c r="H42" s="21">
        <f>'[5]Calcul sous cat &gt;20'!N50/100</f>
        <v>1.8613082306690246E-2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'[5]F 4 TRI _ Granulo'!K30</f>
        <v>0.39965753424657569</v>
      </c>
      <c r="D43" s="20">
        <f>'[5]F 4 TRI _ Granulo'!H30</f>
        <v>3.6700000000000004</v>
      </c>
      <c r="E43" s="20">
        <f>'[5]F 4 TRI _ Granulo'!E30</f>
        <v>0.86</v>
      </c>
      <c r="F43" s="20">
        <f t="shared" si="1"/>
        <v>4.9296575342465765</v>
      </c>
      <c r="G43" s="21">
        <f t="shared" si="0"/>
        <v>6.1321148567017633E-2</v>
      </c>
      <c r="H43" s="21">
        <f>J43</f>
        <v>6.0590294211868879E-2</v>
      </c>
      <c r="I43" s="238">
        <f>G43</f>
        <v>6.1321148567017633E-2</v>
      </c>
      <c r="J43" s="238">
        <f>'[5]Calcul sous cat &gt;20'!N15/100</f>
        <v>6.0590294211868879E-2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'[5]F 4 TRI _ Granulo'!K31</f>
        <v>6.1547260273972606</v>
      </c>
      <c r="D44" s="20">
        <f>'[5]F 4 TRI _ Granulo'!H31</f>
        <v>1.3900000000000001</v>
      </c>
      <c r="E44" s="20">
        <f>'[5]F 4 TRI _ Granulo'!E31</f>
        <v>0</v>
      </c>
      <c r="F44" s="20">
        <f t="shared" si="1"/>
        <v>7.5447260273972603</v>
      </c>
      <c r="G44" s="21">
        <f t="shared" si="0"/>
        <v>9.385058950026666E-2</v>
      </c>
      <c r="H44" s="21">
        <f>G44*J44/I44</f>
        <v>9.0713105970750676E-2</v>
      </c>
      <c r="I44" s="496">
        <f>G44+G45</f>
        <v>9.5218052902515601E-2</v>
      </c>
      <c r="J44" s="496">
        <f>'[5]Calcul sous cat &gt;20'!N16/100</f>
        <v>9.203485422166581E-2</v>
      </c>
    </row>
    <row r="45" spans="1:10" s="1" customFormat="1" ht="15" customHeight="1" x14ac:dyDescent="0.2">
      <c r="A45" s="495"/>
      <c r="B45" s="18" t="s">
        <v>59</v>
      </c>
      <c r="C45" s="19">
        <f>'[5]F 4 TRI _ Granulo'!K32</f>
        <v>7.9931506849315145E-2</v>
      </c>
      <c r="D45" s="20">
        <f>'[5]F 4 TRI _ Granulo'!H32</f>
        <v>3.0000000000000027E-2</v>
      </c>
      <c r="E45" s="20">
        <f>'[5]F 4 TRI _ Granulo'!E32</f>
        <v>0</v>
      </c>
      <c r="F45" s="20">
        <f t="shared" si="1"/>
        <v>0.10993150684931517</v>
      </c>
      <c r="G45" s="21">
        <f t="shared" si="0"/>
        <v>1.3674634022489457E-3</v>
      </c>
      <c r="H45" s="21">
        <f>G45*J44/I44</f>
        <v>1.3217482509151359E-3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'[5]F 4 TRI _ Granulo'!K33</f>
        <v>1.8384246575342467</v>
      </c>
      <c r="D46" s="20">
        <f>'[5]F 4 TRI _ Granulo'!H33</f>
        <v>1.0900000000000003</v>
      </c>
      <c r="E46" s="20">
        <f>'[5]F 4 TRI _ Granulo'!E33</f>
        <v>0</v>
      </c>
      <c r="F46" s="20">
        <f t="shared" si="1"/>
        <v>2.9284246575342472</v>
      </c>
      <c r="G46" s="21">
        <f t="shared" si="0"/>
        <v>3.642735063124837E-2</v>
      </c>
      <c r="H46" s="21">
        <f t="shared" ref="H46:H51" si="2">G46*$J$46/$I$46</f>
        <v>3.6353011065341383E-2</v>
      </c>
      <c r="I46" s="496">
        <f>G46+G47+G50+G51+G48+G49</f>
        <v>3.7794814033497319E-2</v>
      </c>
      <c r="J46" s="496">
        <f>'[5]Calcul sous cat &gt;20'!N17/100</f>
        <v>3.7717683799755437E-2</v>
      </c>
    </row>
    <row r="47" spans="1:10" s="1" customFormat="1" ht="15" customHeight="1" x14ac:dyDescent="0.2">
      <c r="A47" s="494"/>
      <c r="B47" s="18" t="s">
        <v>62</v>
      </c>
      <c r="C47" s="19">
        <f>'[5]F 4 TRI _ Granulo'!K34</f>
        <v>0</v>
      </c>
      <c r="D47" s="20">
        <f>'[5]F 4 TRI _ Granulo'!H34</f>
        <v>0</v>
      </c>
      <c r="E47" s="20">
        <f>'[5]F 4 TRI _ Granulo'!E34</f>
        <v>0</v>
      </c>
      <c r="F47" s="20">
        <f t="shared" si="1"/>
        <v>0</v>
      </c>
      <c r="G47" s="21">
        <f t="shared" si="0"/>
        <v>0</v>
      </c>
      <c r="H47" s="21">
        <f t="shared" si="2"/>
        <v>0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'[5]F 4 TRI _ Granulo'!K35</f>
        <v>0</v>
      </c>
      <c r="D48" s="20">
        <f>'[5]F 4 TRI _ Granulo'!H35</f>
        <v>0</v>
      </c>
      <c r="E48" s="20">
        <f>'[5]F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'[5]F 4 TRI _ Granulo'!K36</f>
        <v>0</v>
      </c>
      <c r="D49" s="20">
        <f>'[5]F 4 TRI _ Granulo'!H36</f>
        <v>0</v>
      </c>
      <c r="E49" s="20">
        <f>'[5]F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'[5]F 4 TRI _ Granulo'!K37</f>
        <v>0</v>
      </c>
      <c r="D50" s="20">
        <f>'[5]F 4 TRI _ Granulo'!H37</f>
        <v>0</v>
      </c>
      <c r="E50" s="20">
        <f>'[5]F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'[5]F 4 TRI _ Granulo'!K38</f>
        <v>7.9931506849315145E-2</v>
      </c>
      <c r="D51" s="20">
        <f>'[5]F 4 TRI _ Granulo'!H38</f>
        <v>3.0000000000000027E-2</v>
      </c>
      <c r="E51" s="20">
        <f>'[5]F 4 TRI _ Granulo'!E38</f>
        <v>0</v>
      </c>
      <c r="F51" s="20">
        <f t="shared" si="1"/>
        <v>0.10993150684931517</v>
      </c>
      <c r="G51" s="21">
        <f t="shared" si="0"/>
        <v>1.3674634022489457E-3</v>
      </c>
      <c r="H51" s="21">
        <f t="shared" si="2"/>
        <v>1.3646727344140558E-3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'[5]F 4 TRI _ Granulo'!K39</f>
        <v>0</v>
      </c>
      <c r="D52" s="20">
        <f>'[5]F 4 TRI _ Granulo'!H39</f>
        <v>0.21000000000000019</v>
      </c>
      <c r="E52" s="20">
        <f>'[5]F 4 TRI _ Granulo'!E39</f>
        <v>0</v>
      </c>
      <c r="F52" s="20">
        <f t="shared" si="1"/>
        <v>0.21000000000000019</v>
      </c>
      <c r="G52" s="21">
        <f t="shared" si="0"/>
        <v>2.6122384992493877E-3</v>
      </c>
      <c r="H52" s="21">
        <f>J52</f>
        <v>2.8828383449691413E-3</v>
      </c>
      <c r="I52" s="241">
        <f>G52</f>
        <v>2.6122384992493877E-3</v>
      </c>
      <c r="J52" s="241">
        <f>'[5]Calcul sous cat &gt;20'!N18/100</f>
        <v>2.8828383449691413E-3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'[5]F 4 TRI _ Granulo'!K40</f>
        <v>0</v>
      </c>
      <c r="D53" s="20">
        <f>'[5]F 4 TRI _ Granulo'!H40</f>
        <v>0.11999999999999988</v>
      </c>
      <c r="E53" s="20">
        <f>'[5]F 4 TRI _ Granulo'!E40</f>
        <v>0</v>
      </c>
      <c r="F53" s="20">
        <f t="shared" si="1"/>
        <v>0.11999999999999988</v>
      </c>
      <c r="G53" s="21">
        <f t="shared" si="0"/>
        <v>1.4927077138567903E-3</v>
      </c>
      <c r="H53" s="175">
        <f>G53*J53/I53</f>
        <v>1.4732398803024643E-3</v>
      </c>
      <c r="I53" s="496">
        <f>SUM(G53:G62)</f>
        <v>1.4927077138567903E-3</v>
      </c>
      <c r="J53" s="496">
        <f>'[5]Calcul sous cat &gt;20'!N19/100</f>
        <v>1.4732398803024643E-3</v>
      </c>
    </row>
    <row r="54" spans="1:10" s="1" customFormat="1" ht="15" customHeight="1" x14ac:dyDescent="0.2">
      <c r="A54" s="494"/>
      <c r="B54" s="18" t="s">
        <v>70</v>
      </c>
      <c r="C54" s="19">
        <f>'[5]F 4 TRI _ Granulo'!K41</f>
        <v>0</v>
      </c>
      <c r="D54" s="20">
        <f>'[5]F 4 TRI _ Granulo'!H41</f>
        <v>0</v>
      </c>
      <c r="E54" s="20">
        <f>'[5]F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'[5]F 4 TRI _ Granulo'!K42</f>
        <v>0</v>
      </c>
      <c r="D55" s="20">
        <f>'[5]F 4 TRI _ Granulo'!H42</f>
        <v>0</v>
      </c>
      <c r="E55" s="20">
        <f>'[5]F 4 TRI _ Granulo'!E42</f>
        <v>0</v>
      </c>
      <c r="F55" s="20">
        <f>SUM(C55:E55)</f>
        <v>0</v>
      </c>
      <c r="G55" s="21">
        <f t="shared" si="0"/>
        <v>0</v>
      </c>
      <c r="H55" s="175">
        <f>G55*J53/I53</f>
        <v>0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'[5]F 4 TRI _ Granulo'!K43</f>
        <v>0</v>
      </c>
      <c r="D56" s="20">
        <f>'[5]F 4 TRI _ Granulo'!H43</f>
        <v>0</v>
      </c>
      <c r="E56" s="20">
        <f>'[5]F 4 TRI _ Granulo'!E43</f>
        <v>0</v>
      </c>
      <c r="F56" s="20">
        <f t="shared" si="1"/>
        <v>0</v>
      </c>
      <c r="G56" s="21">
        <f>F56/$F$64</f>
        <v>0</v>
      </c>
      <c r="H56" s="175">
        <f>G56*J53/I53</f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'[5]F 4 TRI _ Granulo'!K44</f>
        <v>0</v>
      </c>
      <c r="D57" s="20">
        <f>'[5]F 4 TRI _ Granulo'!H44</f>
        <v>0</v>
      </c>
      <c r="E57" s="20">
        <f>'[5]F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'[5]F 4 TRI _ Granulo'!K45</f>
        <v>0</v>
      </c>
      <c r="D58" s="20">
        <f>'[5]F 4 TRI _ Granulo'!H45</f>
        <v>0</v>
      </c>
      <c r="E58" s="20">
        <f>'[5]F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'[5]F 4 TRI _ Granulo'!K46</f>
        <v>0</v>
      </c>
      <c r="D59" s="20">
        <f>'[5]F 4 TRI _ Granulo'!H46</f>
        <v>0</v>
      </c>
      <c r="E59" s="20">
        <f>'[5]F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96"/>
      <c r="J59" s="496"/>
    </row>
    <row r="60" spans="1:10" ht="25.5" x14ac:dyDescent="0.25">
      <c r="A60" s="494"/>
      <c r="B60" s="18" t="s">
        <v>125</v>
      </c>
      <c r="C60" s="19">
        <f>'[5]F 4 TRI _ Granulo'!K47</f>
        <v>0</v>
      </c>
      <c r="D60" s="20">
        <f>'[5]F 4 TRI _ Granulo'!H47</f>
        <v>0</v>
      </c>
      <c r="E60" s="20">
        <f>'[5]F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96"/>
      <c r="J60" s="496"/>
    </row>
    <row r="61" spans="1:10" ht="38.25" x14ac:dyDescent="0.25">
      <c r="A61" s="494"/>
      <c r="B61" s="18" t="s">
        <v>126</v>
      </c>
      <c r="C61" s="19">
        <f>'[5]F 4 TRI _ Granulo'!K48</f>
        <v>0</v>
      </c>
      <c r="D61" s="20">
        <f>'[5]F 4 TRI _ Granulo'!H48</f>
        <v>0</v>
      </c>
      <c r="E61" s="20">
        <f>'[5]F 4 TRI _ Granulo'!E48</f>
        <v>0</v>
      </c>
      <c r="F61" s="20">
        <f t="shared" si="1"/>
        <v>0</v>
      </c>
      <c r="G61" s="21">
        <f t="shared" si="3"/>
        <v>0</v>
      </c>
      <c r="H61" s="175">
        <f>G61*J53/I53</f>
        <v>0</v>
      </c>
      <c r="I61" s="496"/>
      <c r="J61" s="496"/>
    </row>
    <row r="62" spans="1:10" ht="51" x14ac:dyDescent="0.25">
      <c r="A62" s="506"/>
      <c r="B62" s="18" t="s">
        <v>73</v>
      </c>
      <c r="C62" s="19">
        <f>'[5]F 4 TRI _ Granulo'!K49</f>
        <v>0</v>
      </c>
      <c r="D62" s="20">
        <f>'[5]F 4 TRI _ Granulo'!H49</f>
        <v>0</v>
      </c>
      <c r="E62" s="20">
        <f>'[5]F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96"/>
      <c r="J62" s="496"/>
    </row>
    <row r="63" spans="1:10" x14ac:dyDescent="0.25">
      <c r="A63" s="22" t="s">
        <v>74</v>
      </c>
      <c r="B63" s="23">
        <f>'[5]F 3 _ Criblage et Tri'!C27+'[5]F 3 _ Criblage et Tri'!D27</f>
        <v>11.16</v>
      </c>
      <c r="C63" s="19">
        <f>'[5]F 4 TRI _ Granulo'!K50</f>
        <v>1.119041095890412</v>
      </c>
      <c r="D63" s="20">
        <f>'[5]F 4 TRI _ Granulo'!H50</f>
        <v>0.3400000000000003</v>
      </c>
      <c r="E63" s="20">
        <f>'[5]F 4 TRI _ Granulo'!E50</f>
        <v>0</v>
      </c>
      <c r="F63" s="19">
        <f>SUM(B63:E63)</f>
        <v>12.619041095890411</v>
      </c>
      <c r="G63" s="21">
        <f t="shared" si="0"/>
        <v>0.15697116654426232</v>
      </c>
      <c r="H63" s="21">
        <f>J63</f>
        <v>7.6964739348549957E-2</v>
      </c>
      <c r="I63" s="24">
        <f>G63</f>
        <v>0.15697116654426232</v>
      </c>
      <c r="J63" s="24">
        <f>'[5]Calcul sous cat &gt;20'!N20/100</f>
        <v>7.6964739348549957E-2</v>
      </c>
    </row>
    <row r="64" spans="1:10" x14ac:dyDescent="0.25">
      <c r="A64" s="25" t="s">
        <v>25</v>
      </c>
      <c r="B64" s="90">
        <f>B63</f>
        <v>11.16</v>
      </c>
      <c r="C64" s="19">
        <f>SUM(C18:C63)</f>
        <v>45.720821917808237</v>
      </c>
      <c r="D64" s="19">
        <f>SUM(D18:D63)</f>
        <v>22.650000000000009</v>
      </c>
      <c r="E64" s="19">
        <f>SUM(E18:E63)</f>
        <v>0.86</v>
      </c>
      <c r="F64" s="19">
        <f>SUM(B64:E64)</f>
        <v>80.390821917808239</v>
      </c>
      <c r="G64" s="21">
        <f t="shared" si="0"/>
        <v>1</v>
      </c>
      <c r="H64" s="21">
        <f>SUM(H18:H63)</f>
        <v>0.99999999999999989</v>
      </c>
      <c r="I64" s="24">
        <f>SUM(I18:I63)</f>
        <v>0.99999999999999989</v>
      </c>
      <c r="J64" s="24">
        <f>SUM(J18:J63)</f>
        <v>0.99999999999999978</v>
      </c>
    </row>
    <row r="65" spans="1:10" ht="51.75" x14ac:dyDescent="0.25">
      <c r="A65" s="26" t="s">
        <v>75</v>
      </c>
      <c r="B65" s="244">
        <f>B64/$F$64</f>
        <v>0.13882181738868163</v>
      </c>
      <c r="C65" s="244">
        <f>C64/$F$64</f>
        <v>0.56873186300487522</v>
      </c>
      <c r="D65" s="244">
        <f>D64/$F$64</f>
        <v>0.28174858099046957</v>
      </c>
      <c r="E65" s="244">
        <f>E64/$F$64</f>
        <v>1.0697738615973673E-2</v>
      </c>
      <c r="F65" s="244">
        <f>F64/$F$64</f>
        <v>1</v>
      </c>
      <c r="G65" s="1"/>
      <c r="H65" s="1"/>
      <c r="I65" s="1"/>
      <c r="J65" s="1"/>
    </row>
  </sheetData>
  <mergeCells count="39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'[6]F 1 _ Echant et Séchage'!D5</f>
        <v>ROM-H15-PB-PAR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'[6]F 1 _ Echant et Séchage'!D6</f>
        <v>DC 311 GD Paris 20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'[6]F 1 _ Echant et Séchage'!D8</f>
        <v>Romainville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'[6]F 1 _ Echant et Séchage'!E15</f>
        <v>sec et ensoleillé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'[6]F 1 _ Echant et Séchage'!B12</f>
        <v>42046</v>
      </c>
      <c r="C9" s="1"/>
      <c r="D9" s="485" t="s">
        <v>6</v>
      </c>
      <c r="E9" s="485"/>
      <c r="F9" s="485"/>
      <c r="G9" s="6">
        <f>'[6]F 1 _ Echant et Séchage'!G19</f>
        <v>126.3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'[6]F 1 _ Echant et Séchage'!E12</f>
        <v>0.33333333333333331</v>
      </c>
      <c r="C10" s="1"/>
      <c r="D10" s="485" t="s">
        <v>9</v>
      </c>
      <c r="E10" s="485"/>
      <c r="F10" s="485"/>
      <c r="G10" s="236">
        <f>'[6]F 1 _ Echant et Séchage'!H26</f>
        <v>0.5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0.25259999999999999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5">
        <f>'[6]F 1 _ Echant et Séchage'!D51</f>
        <v>0.4324623911322249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ht="63.75" x14ac:dyDescent="0.25">
      <c r="A18" s="497" t="s">
        <v>26</v>
      </c>
      <c r="B18" s="18" t="s">
        <v>119</v>
      </c>
      <c r="C18" s="19">
        <f>'[6]F 4 TRI _ Granulo'!K5</f>
        <v>4.7149193548387123</v>
      </c>
      <c r="D18" s="20">
        <f>'[6]F 4 TRI _ Granulo'!H5</f>
        <v>0.21000000000000019</v>
      </c>
      <c r="E18" s="20">
        <f>'[6]F 4 TRI _ Granulo'!E5</f>
        <v>0</v>
      </c>
      <c r="F18" s="20">
        <f>SUM(C18:E18)</f>
        <v>4.9249193548387122</v>
      </c>
      <c r="G18" s="21">
        <f t="shared" ref="G18:G64" si="0">F18/$F$64</f>
        <v>6.7695225274598606E-2</v>
      </c>
      <c r="H18" s="21">
        <f>G18*J18/I18</f>
        <v>0.15021552417528025</v>
      </c>
      <c r="I18" s="492">
        <f>G18+G19+G20+G21+G22</f>
        <v>8.0891964322136578E-2</v>
      </c>
      <c r="J18" s="492">
        <f>'[6]Calcul sous cat &gt;20'!N8/100</f>
        <v>0.17949905289372514</v>
      </c>
    </row>
    <row r="19" spans="1:10" ht="51" x14ac:dyDescent="0.25">
      <c r="A19" s="498"/>
      <c r="B19" s="18" t="s">
        <v>27</v>
      </c>
      <c r="C19" s="19">
        <f>'[6]F 4 TRI _ Granulo'!K6</f>
        <v>0.60008064516129089</v>
      </c>
      <c r="D19" s="20">
        <f>'[6]F 4 TRI _ Granulo'!H6</f>
        <v>0.35000000000000009</v>
      </c>
      <c r="E19" s="20">
        <f>'[6]F 4 TRI _ Granulo'!E6</f>
        <v>0</v>
      </c>
      <c r="F19" s="20">
        <f>SUM(C19:E19)</f>
        <v>0.95008064516129098</v>
      </c>
      <c r="G19" s="21">
        <f t="shared" si="0"/>
        <v>1.3059284562708514E-2</v>
      </c>
      <c r="H19" s="21">
        <f>G19*J18/I18</f>
        <v>2.8978517583536274E-2</v>
      </c>
      <c r="I19" s="492"/>
      <c r="J19" s="492"/>
    </row>
    <row r="20" spans="1:10" ht="25.5" x14ac:dyDescent="0.25">
      <c r="A20" s="498"/>
      <c r="B20" s="18" t="s">
        <v>28</v>
      </c>
      <c r="C20" s="19">
        <f>'[6]F 4 TRI _ Granulo'!K7</f>
        <v>0</v>
      </c>
      <c r="D20" s="20">
        <f>'[6]F 4 TRI _ Granulo'!H7</f>
        <v>0</v>
      </c>
      <c r="E20" s="20">
        <f>'[6]F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ht="38.25" x14ac:dyDescent="0.25">
      <c r="A21" s="498"/>
      <c r="B21" s="18" t="s">
        <v>29</v>
      </c>
      <c r="C21" s="19">
        <f>'[6]F 4 TRI _ Granulo'!K8</f>
        <v>0</v>
      </c>
      <c r="D21" s="20">
        <f>'[6]F 4 TRI _ Granulo'!H8</f>
        <v>0</v>
      </c>
      <c r="E21" s="20">
        <f>'[6]F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92"/>
      <c r="J21" s="492"/>
    </row>
    <row r="22" spans="1:10" ht="38.25" x14ac:dyDescent="0.25">
      <c r="A22" s="499"/>
      <c r="B22" s="18" t="s">
        <v>30</v>
      </c>
      <c r="C22" s="19">
        <f>'[6]F 4 TRI _ Granulo'!K9</f>
        <v>0</v>
      </c>
      <c r="D22" s="20">
        <f>'[6]F 4 TRI _ Granulo'!H9</f>
        <v>1.0000000000000009E-2</v>
      </c>
      <c r="E22" s="20">
        <f>'[6]F 4 TRI _ Granulo'!E9</f>
        <v>0</v>
      </c>
      <c r="F22" s="20">
        <f t="shared" si="1"/>
        <v>1.0000000000000009E-2</v>
      </c>
      <c r="G22" s="21">
        <f t="shared" si="0"/>
        <v>1.3745448482945896E-4</v>
      </c>
      <c r="H22" s="21">
        <f>G22*J18/I18</f>
        <v>3.0501113490862393E-4</v>
      </c>
      <c r="I22" s="492"/>
      <c r="J22" s="492"/>
    </row>
    <row r="23" spans="1:10" ht="25.5" x14ac:dyDescent="0.25">
      <c r="A23" s="493" t="s">
        <v>31</v>
      </c>
      <c r="B23" s="18" t="s">
        <v>32</v>
      </c>
      <c r="C23" s="19">
        <f>'[6]F 4 TRI _ Granulo'!K10</f>
        <v>0.42862903225806492</v>
      </c>
      <c r="D23" s="20">
        <f>'[6]F 4 TRI _ Granulo'!H10</f>
        <v>0.35000000000000009</v>
      </c>
      <c r="E23" s="20">
        <f>'[6]F 4 TRI _ Granulo'!E10</f>
        <v>0</v>
      </c>
      <c r="F23" s="20">
        <f t="shared" si="1"/>
        <v>0.77862903225806501</v>
      </c>
      <c r="G23" s="21">
        <f t="shared" si="0"/>
        <v>1.0702605250229242E-2</v>
      </c>
      <c r="H23" s="21">
        <f>'[6]Calcul sous cat &gt;20'!N32/100</f>
        <v>9.976117974825496E-3</v>
      </c>
      <c r="I23" s="496">
        <f>G23+G24+G25+G26+G27</f>
        <v>0.12161728946850341</v>
      </c>
      <c r="J23" s="496">
        <f>'[6]Calcul sous cat &gt;20'!N9/100</f>
        <v>0.11046930974281377</v>
      </c>
    </row>
    <row r="24" spans="1:10" ht="38.25" x14ac:dyDescent="0.25">
      <c r="A24" s="494"/>
      <c r="B24" s="18" t="s">
        <v>33</v>
      </c>
      <c r="C24" s="19">
        <f>'[6]F 4 TRI _ Granulo'!K11</f>
        <v>1.1144354838709687</v>
      </c>
      <c r="D24" s="20">
        <f>'[6]F 4 TRI _ Granulo'!H11</f>
        <v>1.9700000000000002</v>
      </c>
      <c r="E24" s="20">
        <f>'[6]F 4 TRI _ Granulo'!E11</f>
        <v>0</v>
      </c>
      <c r="F24" s="20">
        <f t="shared" si="1"/>
        <v>3.0844354838709691</v>
      </c>
      <c r="G24" s="21">
        <f t="shared" si="0"/>
        <v>4.2396949042518665E-2</v>
      </c>
      <c r="H24" s="21">
        <f>'[6]Calcul sous cat &gt;20'!N33/100</f>
        <v>3.8247399946818694E-2</v>
      </c>
      <c r="I24" s="496"/>
      <c r="J24" s="496"/>
    </row>
    <row r="25" spans="1:10" ht="25.5" x14ac:dyDescent="0.25">
      <c r="A25" s="494"/>
      <c r="B25" s="18" t="s">
        <v>34</v>
      </c>
      <c r="C25" s="19">
        <f>'[6]F 4 TRI _ Granulo'!K12</f>
        <v>0.94298387096774283</v>
      </c>
      <c r="D25" s="20">
        <f>'[6]F 4 TRI _ Granulo'!H12</f>
        <v>0.77</v>
      </c>
      <c r="E25" s="20">
        <f>'[6]F 4 TRI _ Granulo'!E12</f>
        <v>0</v>
      </c>
      <c r="F25" s="20">
        <f t="shared" si="1"/>
        <v>1.7129838709677427</v>
      </c>
      <c r="G25" s="21">
        <f t="shared" si="0"/>
        <v>2.3545731550504326E-2</v>
      </c>
      <c r="H25" s="21">
        <f>'[6]Calcul sous cat &gt;20'!N34/100</f>
        <v>2.1241222115992775E-2</v>
      </c>
      <c r="I25" s="496"/>
      <c r="J25" s="496"/>
    </row>
    <row r="26" spans="1:10" ht="25.5" x14ac:dyDescent="0.25">
      <c r="A26" s="494"/>
      <c r="B26" s="18" t="s">
        <v>35</v>
      </c>
      <c r="C26" s="19">
        <f>'[6]F 4 TRI _ Granulo'!K13</f>
        <v>2.4860483870967744</v>
      </c>
      <c r="D26" s="20">
        <f>'[6]F 4 TRI _ Granulo'!H13</f>
        <v>0.69</v>
      </c>
      <c r="E26" s="20">
        <f>'[6]F 4 TRI _ Granulo'!E13</f>
        <v>0</v>
      </c>
      <c r="F26" s="20">
        <f t="shared" si="1"/>
        <v>3.1760483870967744</v>
      </c>
      <c r="G26" s="21">
        <f t="shared" si="0"/>
        <v>4.3656209484182078E-2</v>
      </c>
      <c r="H26" s="21">
        <f>'[6]Calcul sous cat &gt;20'!N35/100</f>
        <v>3.9780239261182307E-2</v>
      </c>
      <c r="I26" s="496"/>
      <c r="J26" s="496"/>
    </row>
    <row r="27" spans="1:10" ht="25.5" x14ac:dyDescent="0.25">
      <c r="A27" s="495"/>
      <c r="B27" s="18" t="s">
        <v>36</v>
      </c>
      <c r="C27" s="19">
        <f>'[6]F 4 TRI _ Granulo'!K14</f>
        <v>8.5725806451612985E-2</v>
      </c>
      <c r="D27" s="20">
        <f>'[6]F 4 TRI _ Granulo'!H14</f>
        <v>1.0000000000000009E-2</v>
      </c>
      <c r="E27" s="20">
        <f>'[6]F 4 TRI _ Granulo'!E14</f>
        <v>0</v>
      </c>
      <c r="F27" s="20">
        <f t="shared" si="1"/>
        <v>9.5725806451612994E-2</v>
      </c>
      <c r="G27" s="21">
        <f t="shared" si="0"/>
        <v>1.3157941410690951E-3</v>
      </c>
      <c r="H27" s="21">
        <f>'[6]Calcul sous cat &gt;20'!N36/100</f>
        <v>1.2243304439944998E-3</v>
      </c>
      <c r="I27" s="496"/>
      <c r="J27" s="496"/>
    </row>
    <row r="28" spans="1:10" ht="25.5" x14ac:dyDescent="0.25">
      <c r="A28" s="493" t="s">
        <v>37</v>
      </c>
      <c r="B28" s="18" t="s">
        <v>38</v>
      </c>
      <c r="C28" s="19">
        <f>'[6]F 4 TRI _ Granulo'!K15</f>
        <v>1.6287903225806468</v>
      </c>
      <c r="D28" s="20">
        <f>'[6]F 4 TRI _ Granulo'!H15</f>
        <v>1.0900000000000003</v>
      </c>
      <c r="E28" s="20">
        <f>'[6]F 4 TRI _ Granulo'!E15</f>
        <v>0</v>
      </c>
      <c r="F28" s="20">
        <f t="shared" si="1"/>
        <v>2.7187903225806469</v>
      </c>
      <c r="G28" s="21">
        <f t="shared" si="0"/>
        <v>3.7370992314964102E-2</v>
      </c>
      <c r="H28" s="21">
        <f>'[6]Calcul sous cat &gt;20'!N37/100</f>
        <v>3.3837671929917434E-2</v>
      </c>
      <c r="I28" s="496">
        <f>G28+G29+G30</f>
        <v>4.742512277789307E-2</v>
      </c>
      <c r="J28" s="496">
        <f>'[6]Calcul sous cat &gt;20'!N10/100</f>
        <v>4.3083549492035987E-2</v>
      </c>
    </row>
    <row r="29" spans="1:10" ht="38.25" x14ac:dyDescent="0.25">
      <c r="A29" s="494"/>
      <c r="B29" s="18" t="s">
        <v>39</v>
      </c>
      <c r="C29" s="19">
        <f>'[6]F 4 TRI _ Granulo'!K16</f>
        <v>8.5725806451612985E-2</v>
      </c>
      <c r="D29" s="20">
        <f>'[6]F 4 TRI _ Granulo'!H16</f>
        <v>0.1100000000000001</v>
      </c>
      <c r="E29" s="20">
        <f>'[6]F 4 TRI _ Granulo'!E16</f>
        <v>0</v>
      </c>
      <c r="F29" s="20">
        <f t="shared" si="1"/>
        <v>0.19572580645161308</v>
      </c>
      <c r="G29" s="21">
        <f t="shared" si="0"/>
        <v>2.6903389893636847E-3</v>
      </c>
      <c r="H29" s="21">
        <f>'[6]Calcul sous cat &gt;20'!N38/100</f>
        <v>2.4371853219521617E-3</v>
      </c>
      <c r="I29" s="496"/>
      <c r="J29" s="496"/>
    </row>
    <row r="30" spans="1:10" ht="25.5" x14ac:dyDescent="0.25">
      <c r="A30" s="495"/>
      <c r="B30" s="18" t="s">
        <v>40</v>
      </c>
      <c r="C30" s="19">
        <f>'[6]F 4 TRI _ Granulo'!K17</f>
        <v>8.5725806451612985E-2</v>
      </c>
      <c r="D30" s="20">
        <f>'[6]F 4 TRI _ Granulo'!H17</f>
        <v>0.45000000000000018</v>
      </c>
      <c r="E30" s="20">
        <f>'[6]F 4 TRI _ Granulo'!E17</f>
        <v>0</v>
      </c>
      <c r="F30" s="20">
        <f t="shared" si="1"/>
        <v>0.53572580645161316</v>
      </c>
      <c r="G30" s="21">
        <f t="shared" si="0"/>
        <v>7.3637914735652866E-3</v>
      </c>
      <c r="H30" s="21">
        <f>'[6]Calcul sous cat &gt;20'!N39/100</f>
        <v>6.8086922401663927E-3</v>
      </c>
      <c r="I30" s="496"/>
      <c r="J30" s="496"/>
    </row>
    <row r="31" spans="1:10" ht="38.25" x14ac:dyDescent="0.25">
      <c r="A31" s="500" t="s">
        <v>41</v>
      </c>
      <c r="B31" s="18" t="s">
        <v>42</v>
      </c>
      <c r="C31" s="19">
        <f>'[6]F 4 TRI _ Granulo'!K18</f>
        <v>0.25717741935483895</v>
      </c>
      <c r="D31" s="20">
        <f>'[6]F 4 TRI _ Granulo'!H18</f>
        <v>0.25</v>
      </c>
      <c r="E31" s="20">
        <f>'[6]F 4 TRI _ Granulo'!E18</f>
        <v>0</v>
      </c>
      <c r="F31" s="20">
        <f t="shared" si="1"/>
        <v>0.50717741935483895</v>
      </c>
      <c r="G31" s="21">
        <f t="shared" si="0"/>
        <v>6.9713810894553802E-3</v>
      </c>
      <c r="H31" s="175">
        <f>G31*J31/I31</f>
        <v>7.9710718141435041E-3</v>
      </c>
      <c r="I31" s="503">
        <f>G31+G32+G33+G34</f>
        <v>1.3825260764459774E-2</v>
      </c>
      <c r="J31" s="503">
        <f>'[6]Calcul sous cat &gt;20'!N11/100</f>
        <v>1.5807792600731087E-2</v>
      </c>
    </row>
    <row r="32" spans="1:10" ht="38.25" x14ac:dyDescent="0.25">
      <c r="A32" s="501"/>
      <c r="B32" s="18" t="s">
        <v>43</v>
      </c>
      <c r="C32" s="19">
        <f>'[6]F 4 TRI _ Granulo'!K19</f>
        <v>0.42862903225806492</v>
      </c>
      <c r="D32" s="20">
        <f>'[6]F 4 TRI _ Granulo'!H19</f>
        <v>7.0000000000000062E-2</v>
      </c>
      <c r="E32" s="20">
        <f>'[6]F 4 TRI _ Granulo'!E19</f>
        <v>0</v>
      </c>
      <c r="F32" s="20">
        <f t="shared" si="1"/>
        <v>0.49862903225806499</v>
      </c>
      <c r="G32" s="21">
        <f t="shared" si="0"/>
        <v>6.8538796750043937E-3</v>
      </c>
      <c r="H32" s="175">
        <f>G32*J31/I31</f>
        <v>7.8367207865875817E-3</v>
      </c>
      <c r="I32" s="504"/>
      <c r="J32" s="504"/>
    </row>
    <row r="33" spans="1:10" ht="51" x14ac:dyDescent="0.25">
      <c r="A33" s="501"/>
      <c r="B33" s="18" t="s">
        <v>44</v>
      </c>
      <c r="C33" s="19">
        <f>'[6]F 4 TRI _ Granulo'!K20</f>
        <v>0</v>
      </c>
      <c r="D33" s="20">
        <f>'[6]F 4 TRI _ Granulo'!H20</f>
        <v>0</v>
      </c>
      <c r="E33" s="20">
        <f>'[6]F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ht="25.5" x14ac:dyDescent="0.25">
      <c r="A34" s="502"/>
      <c r="B34" s="18" t="s">
        <v>120</v>
      </c>
      <c r="C34" s="19">
        <f>'[6]F 4 TRI _ Granulo'!K21</f>
        <v>0</v>
      </c>
      <c r="D34" s="20">
        <f>'[6]F 4 TRI _ Granulo'!H21</f>
        <v>0</v>
      </c>
      <c r="E34" s="20">
        <f>'[6]F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x14ac:dyDescent="0.25">
      <c r="A35" s="237" t="s">
        <v>45</v>
      </c>
      <c r="B35" s="18" t="s">
        <v>46</v>
      </c>
      <c r="C35" s="19">
        <f>'[6]F 4 TRI _ Granulo'!K22</f>
        <v>0.60008064516129089</v>
      </c>
      <c r="D35" s="20">
        <f>'[6]F 4 TRI _ Granulo'!H22</f>
        <v>0.81</v>
      </c>
      <c r="E35" s="20">
        <f>'[6]F 4 TRI _ Granulo'!E22</f>
        <v>0</v>
      </c>
      <c r="F35" s="20">
        <f t="shared" si="1"/>
        <v>1.4100806451612908</v>
      </c>
      <c r="G35" s="21">
        <f t="shared" si="0"/>
        <v>1.9382190864863619E-2</v>
      </c>
      <c r="H35" s="21">
        <f>'[6]Calcul sous cat &gt;20'!N43/100</f>
        <v>1.7592202471774246E-2</v>
      </c>
      <c r="I35" s="238">
        <f>G35</f>
        <v>1.9382190864863619E-2</v>
      </c>
      <c r="J35" s="238">
        <f>'[6]Calcul sous cat &gt;20'!N12/100</f>
        <v>1.7592202471774246E-2</v>
      </c>
    </row>
    <row r="36" spans="1:10" ht="51" x14ac:dyDescent="0.25">
      <c r="A36" s="493" t="s">
        <v>47</v>
      </c>
      <c r="B36" s="18" t="s">
        <v>48</v>
      </c>
      <c r="C36" s="19">
        <f>'[6]F 4 TRI _ Granulo'!K23</f>
        <v>9.8584677419354829</v>
      </c>
      <c r="D36" s="20">
        <f>'[6]F 4 TRI _ Granulo'!H23</f>
        <v>1.4900000000000002</v>
      </c>
      <c r="E36" s="20">
        <f>'[6]F 4 TRI _ Granulo'!E23</f>
        <v>0</v>
      </c>
      <c r="F36" s="20">
        <f t="shared" si="1"/>
        <v>11.348467741935483</v>
      </c>
      <c r="G36" s="21">
        <f t="shared" si="0"/>
        <v>0.15598977870714739</v>
      </c>
      <c r="H36" s="21">
        <f>'[6]Calcul sous cat &gt;20'!N44/100</f>
        <v>0.14589638093724752</v>
      </c>
      <c r="I36" s="496">
        <f>G36+G37</f>
        <v>0.19764403013002302</v>
      </c>
      <c r="J36" s="496">
        <f>'[6]Calcul sous cat &gt;20'!N13/100</f>
        <v>0.18453718532993546</v>
      </c>
    </row>
    <row r="37" spans="1:10" ht="63.75" x14ac:dyDescent="0.25">
      <c r="A37" s="495"/>
      <c r="B37" s="18" t="s">
        <v>49</v>
      </c>
      <c r="C37" s="19">
        <f>'[6]F 4 TRI _ Granulo'!K24</f>
        <v>3.000403225806453</v>
      </c>
      <c r="D37" s="20">
        <f>'[6]F 4 TRI _ Granulo'!H24</f>
        <v>3.0000000000000027E-2</v>
      </c>
      <c r="E37" s="20">
        <f>'[6]F 4 TRI _ Granulo'!E24</f>
        <v>0</v>
      </c>
      <c r="F37" s="20">
        <f t="shared" si="1"/>
        <v>3.0304032258064533</v>
      </c>
      <c r="G37" s="21">
        <f t="shared" si="0"/>
        <v>4.1654251422875627E-2</v>
      </c>
      <c r="H37" s="21">
        <f>'[6]Calcul sous cat &gt;20'!N45/100</f>
        <v>3.8640804392687945E-2</v>
      </c>
      <c r="I37" s="496"/>
      <c r="J37" s="496"/>
    </row>
    <row r="38" spans="1:10" ht="38.25" x14ac:dyDescent="0.25">
      <c r="A38" s="493" t="s">
        <v>50</v>
      </c>
      <c r="B38" s="18" t="s">
        <v>51</v>
      </c>
      <c r="C38" s="19">
        <f>'[6]F 4 TRI _ Granulo'!K25</f>
        <v>0.25717741935483895</v>
      </c>
      <c r="D38" s="20">
        <f>'[6]F 4 TRI _ Granulo'!H25</f>
        <v>3.7899999999999991</v>
      </c>
      <c r="E38" s="20">
        <f>'[6]F 4 TRI _ Granulo'!E25</f>
        <v>0</v>
      </c>
      <c r="F38" s="20">
        <f t="shared" si="1"/>
        <v>4.0471774193548384</v>
      </c>
      <c r="G38" s="21">
        <f t="shared" si="0"/>
        <v>5.5630268719083803E-2</v>
      </c>
      <c r="H38" s="21">
        <f>'[6]Calcul sous cat &gt;20'!N46/100</f>
        <v>5.8214810358822706E-2</v>
      </c>
      <c r="I38" s="496">
        <f>G38+G39+G40+G41+G42</f>
        <v>0.14912703100086377</v>
      </c>
      <c r="J38" s="496">
        <f>'[6]Calcul sous cat &gt;20'!N14/100</f>
        <v>0.15271500927851134</v>
      </c>
    </row>
    <row r="39" spans="1:10" ht="38.25" x14ac:dyDescent="0.25">
      <c r="A39" s="494"/>
      <c r="B39" s="18" t="s">
        <v>52</v>
      </c>
      <c r="C39" s="19">
        <f>'[6]F 4 TRI _ Granulo'!K26</f>
        <v>0.77153225806451686</v>
      </c>
      <c r="D39" s="20">
        <f>'[6]F 4 TRI _ Granulo'!H26</f>
        <v>0.71999999999999975</v>
      </c>
      <c r="E39" s="20">
        <f>'[6]F 4 TRI _ Granulo'!E26</f>
        <v>0</v>
      </c>
      <c r="F39" s="20">
        <f t="shared" si="1"/>
        <v>1.4915322580645167</v>
      </c>
      <c r="G39" s="21">
        <f t="shared" si="0"/>
        <v>2.0501779813877762E-2</v>
      </c>
      <c r="H39" s="21">
        <f>'[6]Calcul sous cat &gt;20'!N47/100</f>
        <v>1.9183954058643777E-2</v>
      </c>
      <c r="I39" s="496"/>
      <c r="J39" s="496"/>
    </row>
    <row r="40" spans="1:10" ht="51" x14ac:dyDescent="0.25">
      <c r="A40" s="494"/>
      <c r="B40" s="18" t="s">
        <v>53</v>
      </c>
      <c r="C40" s="19">
        <f>'[6]F 4 TRI _ Granulo'!K27</f>
        <v>0</v>
      </c>
      <c r="D40" s="20">
        <f>'[6]F 4 TRI _ Granulo'!H27</f>
        <v>0.69</v>
      </c>
      <c r="E40" s="20">
        <f>'[6]F 4 TRI _ Granulo'!E27</f>
        <v>0</v>
      </c>
      <c r="F40" s="20">
        <f t="shared" si="1"/>
        <v>0.69</v>
      </c>
      <c r="G40" s="21">
        <f t="shared" si="0"/>
        <v>9.4843594532326592E-3</v>
      </c>
      <c r="H40" s="21">
        <f>'[6]Calcul sous cat &gt;20'!N48/100</f>
        <v>8.8738360961858401E-3</v>
      </c>
      <c r="I40" s="496"/>
      <c r="J40" s="496"/>
    </row>
    <row r="41" spans="1:10" ht="38.25" x14ac:dyDescent="0.25">
      <c r="A41" s="494"/>
      <c r="B41" s="18" t="s">
        <v>54</v>
      </c>
      <c r="C41" s="19">
        <f>'[6]F 4 TRI _ Granulo'!K28</f>
        <v>1.8002419354838728</v>
      </c>
      <c r="D41" s="20">
        <f>'[6]F 4 TRI _ Granulo'!H28</f>
        <v>0.60999999999999988</v>
      </c>
      <c r="E41" s="20">
        <f>'[6]F 4 TRI _ Granulo'!E28</f>
        <v>0</v>
      </c>
      <c r="F41" s="20">
        <f t="shared" si="1"/>
        <v>2.4102419354838727</v>
      </c>
      <c r="G41" s="21">
        <f t="shared" si="0"/>
        <v>3.3129856355629352E-2</v>
      </c>
      <c r="H41" s="21">
        <f>'[6]Calcul sous cat &gt;20'!N49/100</f>
        <v>3.4658141857525429E-2</v>
      </c>
      <c r="I41" s="496"/>
      <c r="J41" s="496"/>
    </row>
    <row r="42" spans="1:10" ht="25.5" x14ac:dyDescent="0.25">
      <c r="A42" s="495"/>
      <c r="B42" s="18" t="s">
        <v>55</v>
      </c>
      <c r="C42" s="19">
        <f>'[6]F 4 TRI _ Granulo'!K29</f>
        <v>1.8002419354838728</v>
      </c>
      <c r="D42" s="20">
        <f>'[6]F 4 TRI _ Granulo'!H29</f>
        <v>0.41000000000000014</v>
      </c>
      <c r="E42" s="20">
        <f>'[6]F 4 TRI _ Granulo'!E29</f>
        <v>0</v>
      </c>
      <c r="F42" s="20">
        <f t="shared" si="1"/>
        <v>2.2102419354838729</v>
      </c>
      <c r="G42" s="21">
        <f t="shared" si="0"/>
        <v>3.0380766659040177E-2</v>
      </c>
      <c r="H42" s="21">
        <f>'[6]Calcul sous cat &gt;20'!N50/100</f>
        <v>3.1784266907333596E-2</v>
      </c>
      <c r="I42" s="496"/>
      <c r="J42" s="496"/>
    </row>
    <row r="43" spans="1:10" ht="38.25" x14ac:dyDescent="0.25">
      <c r="A43" s="237" t="s">
        <v>56</v>
      </c>
      <c r="B43" s="18" t="s">
        <v>56</v>
      </c>
      <c r="C43" s="19">
        <f>'[6]F 4 TRI _ Granulo'!K30</f>
        <v>0.60008064516129089</v>
      </c>
      <c r="D43" s="20">
        <f>'[6]F 4 TRI _ Granulo'!H30</f>
        <v>3.03</v>
      </c>
      <c r="E43" s="20">
        <f>'[6]F 4 TRI _ Granulo'!E30</f>
        <v>0</v>
      </c>
      <c r="F43" s="20">
        <f t="shared" si="1"/>
        <v>3.6300806451612906</v>
      </c>
      <c r="G43" s="21">
        <f t="shared" si="0"/>
        <v>4.989708649700348E-2</v>
      </c>
      <c r="H43" s="21">
        <f>J43</f>
        <v>4.6250044687314126E-2</v>
      </c>
      <c r="I43" s="238">
        <f>G43</f>
        <v>4.989708649700348E-2</v>
      </c>
      <c r="J43" s="238">
        <f>'[6]Calcul sous cat &gt;20'!N15/100</f>
        <v>4.6250044687314126E-2</v>
      </c>
    </row>
    <row r="44" spans="1:10" ht="51" x14ac:dyDescent="0.25">
      <c r="A44" s="493" t="s">
        <v>57</v>
      </c>
      <c r="B44" s="18" t="s">
        <v>58</v>
      </c>
      <c r="C44" s="19">
        <f>'[6]F 4 TRI _ Granulo'!K31</f>
        <v>4.3720161290322608</v>
      </c>
      <c r="D44" s="20">
        <f>'[6]F 4 TRI _ Granulo'!H31</f>
        <v>2.4899999999999998</v>
      </c>
      <c r="E44" s="20">
        <f>'[6]F 4 TRI _ Granulo'!E31</f>
        <v>0</v>
      </c>
      <c r="F44" s="20">
        <f t="shared" si="1"/>
        <v>6.862016129032261</v>
      </c>
      <c r="G44" s="21">
        <f t="shared" si="0"/>
        <v>9.4321489190756683E-2</v>
      </c>
      <c r="H44" s="21">
        <f>G44*J44/I44</f>
        <v>8.550696562362381E-2</v>
      </c>
      <c r="I44" s="496">
        <f>G44+G45</f>
        <v>0.10747566168815392</v>
      </c>
      <c r="J44" s="496">
        <f>'[6]Calcul sous cat &gt;20'!N16/100</f>
        <v>9.7431855542053858E-2</v>
      </c>
    </row>
    <row r="45" spans="1:10" ht="38.25" x14ac:dyDescent="0.25">
      <c r="A45" s="495"/>
      <c r="B45" s="18" t="s">
        <v>59</v>
      </c>
      <c r="C45" s="19">
        <f>'[6]F 4 TRI _ Granulo'!K32</f>
        <v>0.94298387096774283</v>
      </c>
      <c r="D45" s="20">
        <f>'[6]F 4 TRI _ Granulo'!H32</f>
        <v>1.4E-2</v>
      </c>
      <c r="E45" s="20">
        <f>'[6]F 4 TRI _ Granulo'!E32</f>
        <v>0</v>
      </c>
      <c r="F45" s="20">
        <f t="shared" si="1"/>
        <v>0.95698387096774284</v>
      </c>
      <c r="G45" s="21">
        <f t="shared" si="0"/>
        <v>1.315417249739724E-2</v>
      </c>
      <c r="H45" s="21">
        <f>G45*J44/I44</f>
        <v>1.1924889918430054E-2</v>
      </c>
      <c r="I45" s="496"/>
      <c r="J45" s="496"/>
    </row>
    <row r="46" spans="1:10" ht="51" x14ac:dyDescent="0.25">
      <c r="A46" s="493" t="s">
        <v>60</v>
      </c>
      <c r="B46" s="18" t="s">
        <v>61</v>
      </c>
      <c r="C46" s="19">
        <f>'[6]F 4 TRI _ Granulo'!K33</f>
        <v>1.4573387096774209</v>
      </c>
      <c r="D46" s="20">
        <f>'[6]F 4 TRI _ Granulo'!H33</f>
        <v>1.4900000000000002</v>
      </c>
      <c r="E46" s="20">
        <f>'[6]F 4 TRI _ Granulo'!E33</f>
        <v>0</v>
      </c>
      <c r="F46" s="20">
        <f t="shared" si="1"/>
        <v>2.9473387096774211</v>
      </c>
      <c r="G46" s="21">
        <f t="shared" si="0"/>
        <v>4.0512492395663187E-2</v>
      </c>
      <c r="H46" s="21">
        <f t="shared" ref="H46:H51" si="2">G46*$J$46/$I$46</f>
        <v>3.7922714616810474E-2</v>
      </c>
      <c r="I46" s="496">
        <f>G46+G47+G50+G51+G48+G49</f>
        <v>5.4062844190464039E-2</v>
      </c>
      <c r="J46" s="496">
        <f>'[6]Calcul sous cat &gt;20'!N17/100</f>
        <v>5.0606854586599824E-2</v>
      </c>
    </row>
    <row r="47" spans="1:10" ht="51" x14ac:dyDescent="0.25">
      <c r="A47" s="494"/>
      <c r="B47" s="18" t="s">
        <v>62</v>
      </c>
      <c r="C47" s="19">
        <f>'[6]F 4 TRI _ Granulo'!K34</f>
        <v>0.60008064516129089</v>
      </c>
      <c r="D47" s="20">
        <f>'[6]F 4 TRI _ Granulo'!H34</f>
        <v>1.0000000000000009E-2</v>
      </c>
      <c r="E47" s="20">
        <f>'[6]F 4 TRI _ Granulo'!E34</f>
        <v>0</v>
      </c>
      <c r="F47" s="20">
        <f t="shared" si="1"/>
        <v>0.6100806451612909</v>
      </c>
      <c r="G47" s="21">
        <f t="shared" si="0"/>
        <v>8.3858320785069121E-3</v>
      </c>
      <c r="H47" s="21">
        <f t="shared" si="2"/>
        <v>7.8497643055838069E-3</v>
      </c>
      <c r="I47" s="496"/>
      <c r="J47" s="496"/>
    </row>
    <row r="48" spans="1:10" ht="38.25" x14ac:dyDescent="0.25">
      <c r="A48" s="494"/>
      <c r="B48" s="18" t="s">
        <v>63</v>
      </c>
      <c r="C48" s="19">
        <f>'[6]F 4 TRI _ Granulo'!K35</f>
        <v>0</v>
      </c>
      <c r="D48" s="20">
        <f>'[6]F 4 TRI _ Granulo'!H35</f>
        <v>0</v>
      </c>
      <c r="E48" s="20">
        <f>'[6]F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ht="51" x14ac:dyDescent="0.25">
      <c r="A49" s="494"/>
      <c r="B49" s="18" t="s">
        <v>64</v>
      </c>
      <c r="C49" s="19">
        <f>'[6]F 4 TRI _ Granulo'!K36</f>
        <v>0</v>
      </c>
      <c r="D49" s="20">
        <f>'[6]F 4 TRI _ Granulo'!H36</f>
        <v>0</v>
      </c>
      <c r="E49" s="20">
        <f>'[6]F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ht="38.25" x14ac:dyDescent="0.25">
      <c r="A50" s="494"/>
      <c r="B50" s="18" t="s">
        <v>65</v>
      </c>
      <c r="C50" s="19">
        <f>'[6]F 4 TRI _ Granulo'!K37</f>
        <v>0</v>
      </c>
      <c r="D50" s="20">
        <f>'[6]F 4 TRI _ Granulo'!H37</f>
        <v>0</v>
      </c>
      <c r="E50" s="20">
        <f>'[6]F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ht="25.5" x14ac:dyDescent="0.25">
      <c r="A51" s="495"/>
      <c r="B51" s="18" t="s">
        <v>66</v>
      </c>
      <c r="C51" s="19">
        <f>'[6]F 4 TRI _ Granulo'!K38</f>
        <v>8.5725806451612985E-2</v>
      </c>
      <c r="D51" s="20">
        <f>'[6]F 4 TRI _ Granulo'!H38</f>
        <v>0.29000000000000004</v>
      </c>
      <c r="E51" s="20">
        <f>'[6]F 4 TRI _ Granulo'!E38</f>
        <v>0</v>
      </c>
      <c r="F51" s="20">
        <f t="shared" si="1"/>
        <v>0.37572580645161302</v>
      </c>
      <c r="G51" s="21">
        <f t="shared" si="0"/>
        <v>5.1645197162939428E-3</v>
      </c>
      <c r="H51" s="21">
        <f t="shared" si="2"/>
        <v>4.8343756642055431E-3</v>
      </c>
      <c r="I51" s="496"/>
      <c r="J51" s="496"/>
    </row>
    <row r="52" spans="1:10" ht="38.25" x14ac:dyDescent="0.25">
      <c r="A52" s="240" t="s">
        <v>67</v>
      </c>
      <c r="B52" s="18" t="s">
        <v>68</v>
      </c>
      <c r="C52" s="19">
        <f>'[6]F 4 TRI _ Granulo'!K39</f>
        <v>3.000403225806453</v>
      </c>
      <c r="D52" s="20">
        <f>'[6]F 4 TRI _ Granulo'!H39</f>
        <v>7.2999999999999995E-2</v>
      </c>
      <c r="E52" s="20">
        <f>'[6]F 4 TRI _ Granulo'!E39</f>
        <v>0</v>
      </c>
      <c r="F52" s="20">
        <f t="shared" si="1"/>
        <v>3.073403225806453</v>
      </c>
      <c r="G52" s="21">
        <f t="shared" si="0"/>
        <v>4.2245305707642296E-2</v>
      </c>
      <c r="H52" s="21">
        <f>J52</f>
        <v>4.373016998137573E-2</v>
      </c>
      <c r="I52" s="241">
        <f>G52</f>
        <v>4.2245305707642296E-2</v>
      </c>
      <c r="J52" s="241">
        <f>'[6]Calcul sous cat &gt;20'!N18/100</f>
        <v>4.373016998137573E-2</v>
      </c>
    </row>
    <row r="53" spans="1:10" ht="38.25" x14ac:dyDescent="0.25">
      <c r="A53" s="493" t="s">
        <v>69</v>
      </c>
      <c r="B53" s="18" t="s">
        <v>121</v>
      </c>
      <c r="C53" s="19">
        <f>'[6]F 4 TRI _ Granulo'!K40</f>
        <v>0</v>
      </c>
      <c r="D53" s="20">
        <f>'[6]F 4 TRI _ Granulo'!H40</f>
        <v>0.19999999999999996</v>
      </c>
      <c r="E53" s="20">
        <f>'[6]F 4 TRI _ Granulo'!E40</f>
        <v>0</v>
      </c>
      <c r="F53" s="20">
        <f t="shared" si="1"/>
        <v>0.19999999999999996</v>
      </c>
      <c r="G53" s="21">
        <f t="shared" si="0"/>
        <v>2.7490896965891762E-3</v>
      </c>
      <c r="H53" s="175">
        <f>G53*J53/I53</f>
        <v>2.5447690515129438E-3</v>
      </c>
      <c r="I53" s="496">
        <f>SUM(G53:G62)</f>
        <v>2.7490896965891762E-3</v>
      </c>
      <c r="J53" s="496">
        <f>'[6]Calcul sous cat &gt;20'!N19/100</f>
        <v>2.5447690515129438E-3</v>
      </c>
    </row>
    <row r="54" spans="1:10" ht="76.5" x14ac:dyDescent="0.25">
      <c r="A54" s="494"/>
      <c r="B54" s="18" t="s">
        <v>70</v>
      </c>
      <c r="C54" s="19">
        <f>'[6]F 4 TRI _ Granulo'!K41</f>
        <v>0</v>
      </c>
      <c r="D54" s="20">
        <f>'[6]F 4 TRI _ Granulo'!H41</f>
        <v>0</v>
      </c>
      <c r="E54" s="20">
        <f>'[6]F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96"/>
      <c r="J54" s="496"/>
    </row>
    <row r="55" spans="1:10" ht="25.5" x14ac:dyDescent="0.25">
      <c r="A55" s="494"/>
      <c r="B55" s="18" t="s">
        <v>71</v>
      </c>
      <c r="C55" s="19">
        <f>'[6]F 4 TRI _ Granulo'!K42</f>
        <v>0</v>
      </c>
      <c r="D55" s="20">
        <f>'[6]F 4 TRI _ Granulo'!H42</f>
        <v>0</v>
      </c>
      <c r="E55" s="20">
        <f>'[6]F 4 TRI _ Granulo'!E42</f>
        <v>0</v>
      </c>
      <c r="F55" s="20">
        <f>SUM(C55:E55)</f>
        <v>0</v>
      </c>
      <c r="G55" s="21">
        <f t="shared" si="0"/>
        <v>0</v>
      </c>
      <c r="H55" s="175">
        <f>G55*J53/I53</f>
        <v>0</v>
      </c>
      <c r="I55" s="496"/>
      <c r="J55" s="496"/>
    </row>
    <row r="56" spans="1:10" ht="38.25" x14ac:dyDescent="0.25">
      <c r="A56" s="494"/>
      <c r="B56" s="18" t="s">
        <v>72</v>
      </c>
      <c r="C56" s="19">
        <f>'[6]F 4 TRI _ Granulo'!K43</f>
        <v>0</v>
      </c>
      <c r="D56" s="20">
        <f>'[6]F 4 TRI _ Granulo'!H43</f>
        <v>0</v>
      </c>
      <c r="E56" s="20">
        <f>'[6]F 4 TRI _ Granulo'!E43</f>
        <v>0</v>
      </c>
      <c r="F56" s="20">
        <f t="shared" si="1"/>
        <v>0</v>
      </c>
      <c r="G56" s="21">
        <f>F56/$F$64</f>
        <v>0</v>
      </c>
      <c r="H56" s="175">
        <f>G56*J53/I53</f>
        <v>0</v>
      </c>
      <c r="I56" s="496"/>
      <c r="J56" s="496"/>
    </row>
    <row r="57" spans="1:10" ht="51" x14ac:dyDescent="0.25">
      <c r="A57" s="494"/>
      <c r="B57" s="18" t="s">
        <v>122</v>
      </c>
      <c r="C57" s="19">
        <f>'[6]F 4 TRI _ Granulo'!K44</f>
        <v>0</v>
      </c>
      <c r="D57" s="20">
        <f>'[6]F 4 TRI _ Granulo'!H44</f>
        <v>0</v>
      </c>
      <c r="E57" s="20">
        <f>'[6]F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96"/>
      <c r="J57" s="496"/>
    </row>
    <row r="58" spans="1:10" ht="25.5" x14ac:dyDescent="0.25">
      <c r="A58" s="494"/>
      <c r="B58" s="18" t="s">
        <v>123</v>
      </c>
      <c r="C58" s="19">
        <f>'[6]F 4 TRI _ Granulo'!K45</f>
        <v>0</v>
      </c>
      <c r="D58" s="20">
        <f>'[6]F 4 TRI _ Granulo'!H45</f>
        <v>0</v>
      </c>
      <c r="E58" s="20">
        <f>'[6]F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96"/>
      <c r="J58" s="496"/>
    </row>
    <row r="59" spans="1:10" ht="25.5" x14ac:dyDescent="0.25">
      <c r="A59" s="494"/>
      <c r="B59" s="18" t="s">
        <v>124</v>
      </c>
      <c r="C59" s="19">
        <f>'[6]F 4 TRI _ Granulo'!K46</f>
        <v>0</v>
      </c>
      <c r="D59" s="20">
        <f>'[6]F 4 TRI _ Granulo'!H46</f>
        <v>0</v>
      </c>
      <c r="E59" s="20">
        <f>'[6]F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96"/>
      <c r="J59" s="496"/>
    </row>
    <row r="60" spans="1:10" ht="25.5" x14ac:dyDescent="0.25">
      <c r="A60" s="494"/>
      <c r="B60" s="18" t="s">
        <v>125</v>
      </c>
      <c r="C60" s="19">
        <f>'[6]F 4 TRI _ Granulo'!K47</f>
        <v>0</v>
      </c>
      <c r="D60" s="20">
        <f>'[6]F 4 TRI _ Granulo'!H47</f>
        <v>0</v>
      </c>
      <c r="E60" s="20">
        <f>'[6]F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96"/>
      <c r="J60" s="496"/>
    </row>
    <row r="61" spans="1:10" ht="38.25" x14ac:dyDescent="0.25">
      <c r="A61" s="494"/>
      <c r="B61" s="18" t="s">
        <v>126</v>
      </c>
      <c r="C61" s="19">
        <f>'[6]F 4 TRI _ Granulo'!K48</f>
        <v>0</v>
      </c>
      <c r="D61" s="20">
        <f>'[6]F 4 TRI _ Granulo'!H48</f>
        <v>0</v>
      </c>
      <c r="E61" s="20">
        <f>'[6]F 4 TRI _ Granulo'!E48</f>
        <v>0</v>
      </c>
      <c r="F61" s="20">
        <f t="shared" si="1"/>
        <v>0</v>
      </c>
      <c r="G61" s="21">
        <f t="shared" si="3"/>
        <v>0</v>
      </c>
      <c r="H61" s="175">
        <f>G61*J53/I53</f>
        <v>0</v>
      </c>
      <c r="I61" s="496"/>
      <c r="J61" s="496"/>
    </row>
    <row r="62" spans="1:10" ht="51" x14ac:dyDescent="0.25">
      <c r="A62" s="506"/>
      <c r="B62" s="18" t="s">
        <v>73</v>
      </c>
      <c r="C62" s="19">
        <f>'[6]F 4 TRI _ Granulo'!K49</f>
        <v>0</v>
      </c>
      <c r="D62" s="20">
        <f>'[6]F 4 TRI _ Granulo'!H49</f>
        <v>0</v>
      </c>
      <c r="E62" s="20">
        <f>'[6]F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96"/>
      <c r="J62" s="496"/>
    </row>
    <row r="63" spans="1:10" x14ac:dyDescent="0.25">
      <c r="A63" s="22" t="s">
        <v>74</v>
      </c>
      <c r="B63" s="23">
        <f>'[6]F 3 _ Criblage et Tri'!C27+'[6]F 3 _ Criblage et Tri'!D27</f>
        <v>7.04</v>
      </c>
      <c r="C63" s="19">
        <f>'[6]F 4 TRI _ Granulo'!K50</f>
        <v>1.0287096774193558</v>
      </c>
      <c r="D63" s="20">
        <f>'[6]F 4 TRI _ Granulo'!H50</f>
        <v>0.20000000000000018</v>
      </c>
      <c r="E63" s="20">
        <f>'[6]F 4 TRI _ Granulo'!E50</f>
        <v>0</v>
      </c>
      <c r="F63" s="19">
        <f>SUM(B63:E63)</f>
        <v>8.2687096774193556</v>
      </c>
      <c r="G63" s="21">
        <f t="shared" si="0"/>
        <v>0.11365712289140384</v>
      </c>
      <c r="H63" s="21">
        <f>J63</f>
        <v>5.5732204341616638E-2</v>
      </c>
      <c r="I63" s="24">
        <f>G63</f>
        <v>0.11365712289140384</v>
      </c>
      <c r="J63" s="24">
        <f>'[6]Calcul sous cat &gt;20'!N20/100</f>
        <v>5.5732204341616638E-2</v>
      </c>
    </row>
    <row r="64" spans="1:10" x14ac:dyDescent="0.25">
      <c r="A64" s="25" t="s">
        <v>25</v>
      </c>
      <c r="B64" s="90">
        <f>B63</f>
        <v>7.04</v>
      </c>
      <c r="C64" s="19">
        <f>SUM(C18:C63)</f>
        <v>43.034354838709703</v>
      </c>
      <c r="D64" s="19">
        <f>SUM(D18:D63)</f>
        <v>22.676999999999996</v>
      </c>
      <c r="E64" s="19">
        <f>SUM(E18:E63)</f>
        <v>0</v>
      </c>
      <c r="F64" s="19">
        <f>SUM(B64:E64)</f>
        <v>72.751354838709702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1.0000000000000002</v>
      </c>
    </row>
    <row r="65" spans="1:10" ht="51.75" x14ac:dyDescent="0.25">
      <c r="A65" s="26" t="s">
        <v>75</v>
      </c>
      <c r="B65" s="244">
        <f>B64/$F$64</f>
        <v>9.6767957319939021E-2</v>
      </c>
      <c r="C65" s="244">
        <f>C64/$F$64</f>
        <v>0.59152650743229718</v>
      </c>
      <c r="D65" s="244">
        <f>D64/$F$64</f>
        <v>0.31170553524776379</v>
      </c>
      <c r="E65" s="244">
        <f>E64/$F$64</f>
        <v>0</v>
      </c>
      <c r="F65" s="244">
        <f>F64/$F$64</f>
        <v>1</v>
      </c>
      <c r="G65" s="1"/>
      <c r="H65" s="1"/>
      <c r="I65" s="1"/>
      <c r="J65" s="1"/>
    </row>
  </sheetData>
  <mergeCells count="39">
    <mergeCell ref="A53:A62"/>
    <mergeCell ref="I53:I62"/>
    <mergeCell ref="J53:J62"/>
    <mergeCell ref="A44:A45"/>
    <mergeCell ref="I44:I45"/>
    <mergeCell ref="J44:J45"/>
    <mergeCell ref="A46:A51"/>
    <mergeCell ref="I46:I51"/>
    <mergeCell ref="J46:J51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4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cols>
    <col min="2" max="2" width="32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251" t="str">
        <f>'[7]F 1 _ Echant et Séchage'!D5</f>
        <v>STO H15 PB BAN</v>
      </c>
      <c r="C2" s="251"/>
      <c r="D2" s="251"/>
      <c r="E2" s="251"/>
      <c r="F2" s="251"/>
      <c r="G2" s="2"/>
      <c r="H2" s="2"/>
      <c r="I2" s="2"/>
      <c r="J2" s="2"/>
    </row>
    <row r="3" spans="1:10" x14ac:dyDescent="0.25">
      <c r="A3" s="1" t="s">
        <v>1</v>
      </c>
      <c r="B3" s="491" t="str">
        <f>'[7]F 1 _ Echant et Séchage'!D6</f>
        <v>DH 862 TB Saint Ouen</v>
      </c>
      <c r="C3" s="491"/>
      <c r="D3" s="491"/>
      <c r="E3" s="491"/>
      <c r="F3" s="491"/>
      <c r="G3" s="3"/>
      <c r="H3" s="3"/>
      <c r="I3" s="3"/>
      <c r="J3" s="3"/>
    </row>
    <row r="4" spans="1:10" x14ac:dyDescent="0.25">
      <c r="A4" s="1" t="s">
        <v>2</v>
      </c>
      <c r="B4" s="236"/>
      <c r="C4" s="236" t="str">
        <f>'[7]F 1 _ Echant et Séchage'!D8</f>
        <v>SAINT OUEN</v>
      </c>
      <c r="D4" s="236"/>
      <c r="E4" s="236"/>
      <c r="F4" s="236"/>
      <c r="G4" s="3"/>
      <c r="H4" s="3"/>
      <c r="I4" s="3"/>
      <c r="J4" s="3"/>
    </row>
    <row r="5" spans="1:10" x14ac:dyDescent="0.25">
      <c r="A5" s="1" t="s">
        <v>3</v>
      </c>
      <c r="B5" s="236"/>
      <c r="C5" s="236" t="str">
        <f>'[7]F 1 _ Echant et Séchage'!E15</f>
        <v>sec</v>
      </c>
      <c r="D5" s="236"/>
      <c r="E5" s="236"/>
      <c r="F5" s="236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'[7]F 1 _ Echant et Séchage'!B12</f>
        <v>42040</v>
      </c>
      <c r="C9" s="1"/>
      <c r="D9" s="485" t="s">
        <v>6</v>
      </c>
      <c r="E9" s="485"/>
      <c r="F9" s="485"/>
      <c r="G9" s="6">
        <f>'[7]F 1 _ Echant et Séchage'!G19</f>
        <v>126.6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'[7]F 1 _ Echant et Séchage'!E12</f>
        <v>0.3888888888888889</v>
      </c>
      <c r="C10" s="1"/>
      <c r="D10" s="485" t="s">
        <v>9</v>
      </c>
      <c r="E10" s="485"/>
      <c r="F10" s="485"/>
      <c r="G10" s="236">
        <f>'[7]F 1 _ Echant et Séchage'!H26</f>
        <v>0.45</v>
      </c>
      <c r="H10" s="236"/>
      <c r="I10" s="9"/>
      <c r="J10" s="1" t="s">
        <v>10</v>
      </c>
    </row>
    <row r="11" spans="1:10" x14ac:dyDescent="0.25">
      <c r="A11" s="1"/>
      <c r="B11" s="485"/>
      <c r="C11" s="485"/>
      <c r="D11" s="485" t="s">
        <v>11</v>
      </c>
      <c r="E11" s="485"/>
      <c r="F11" s="485"/>
      <c r="G11" s="10">
        <f>G9/1000/G10</f>
        <v>0.28133333333333332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85" t="s">
        <v>13</v>
      </c>
      <c r="E12" s="485"/>
      <c r="F12" s="485"/>
      <c r="G12" s="248">
        <f>'[7]F 1 _ Echant et Séchage'!D51</f>
        <v>0.40425750394944709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42"/>
      <c r="H13" s="242"/>
      <c r="I13" s="242"/>
      <c r="J13" s="1"/>
    </row>
    <row r="14" spans="1:10" ht="18.75" x14ac:dyDescent="0.25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ht="15" customHeight="1" x14ac:dyDescent="0.25">
      <c r="A18" s="497" t="s">
        <v>26</v>
      </c>
      <c r="B18" s="18" t="s">
        <v>119</v>
      </c>
      <c r="C18" s="19">
        <f>'[7]F 4 TRI _ Granulo'!K5</f>
        <v>7.548</v>
      </c>
      <c r="D18" s="20">
        <f>'[7]F 4 TRI _ Granulo'!H5</f>
        <v>0.27</v>
      </c>
      <c r="E18" s="20">
        <f>'[7]F 4 TRI _ Granulo'!E5</f>
        <v>0</v>
      </c>
      <c r="F18" s="20">
        <f>SUM(C18:E18)</f>
        <v>7.8179999999999996</v>
      </c>
      <c r="G18" s="21">
        <f t="shared" ref="G18:G64" si="0">F18/$F$64</f>
        <v>0.10415445447472475</v>
      </c>
      <c r="H18" s="21">
        <f>G18*J18/I18</f>
        <v>0.23092311935095158</v>
      </c>
      <c r="I18" s="492">
        <f>G18+G19+G20+G21+G22</f>
        <v>0.11995481044901787</v>
      </c>
      <c r="J18" s="492">
        <f>'[7]Calcul sous cat &gt;20'!N8/100</f>
        <v>0.26595443420772169</v>
      </c>
    </row>
    <row r="19" spans="1:10" x14ac:dyDescent="0.25">
      <c r="A19" s="498"/>
      <c r="B19" s="18" t="s">
        <v>27</v>
      </c>
      <c r="C19" s="19">
        <f>'[7]F 4 TRI _ Granulo'!K6</f>
        <v>0.47600000000000048</v>
      </c>
      <c r="D19" s="20">
        <f>'[7]F 4 TRI _ Granulo'!H6</f>
        <v>0.71</v>
      </c>
      <c r="E19" s="20">
        <f>'[7]F 4 TRI _ Granulo'!E6</f>
        <v>0</v>
      </c>
      <c r="F19" s="20">
        <f>SUM(C19:E19)</f>
        <v>1.1860000000000004</v>
      </c>
      <c r="G19" s="21">
        <f t="shared" si="0"/>
        <v>1.580035597429312E-2</v>
      </c>
      <c r="H19" s="21">
        <f>G19*J18/I18</f>
        <v>3.5031314856770107E-2</v>
      </c>
      <c r="I19" s="492"/>
      <c r="J19" s="492"/>
    </row>
    <row r="20" spans="1:10" x14ac:dyDescent="0.25">
      <c r="A20" s="498"/>
      <c r="B20" s="18" t="s">
        <v>28</v>
      </c>
      <c r="C20" s="19">
        <f>'[7]F 4 TRI _ Granulo'!K7</f>
        <v>0</v>
      </c>
      <c r="D20" s="20">
        <f>'[7]F 4 TRI _ Granulo'!H7</f>
        <v>0</v>
      </c>
      <c r="E20" s="20">
        <f>'[7]F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x14ac:dyDescent="0.25">
      <c r="A21" s="498"/>
      <c r="B21" s="18" t="s">
        <v>29</v>
      </c>
      <c r="C21" s="19">
        <f>'[7]F 4 TRI _ Granulo'!K8</f>
        <v>0</v>
      </c>
      <c r="D21" s="20">
        <f>'[7]F 4 TRI _ Granulo'!H8</f>
        <v>0</v>
      </c>
      <c r="E21" s="20">
        <f>'[7]F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92"/>
      <c r="J21" s="492"/>
    </row>
    <row r="22" spans="1:10" x14ac:dyDescent="0.25">
      <c r="A22" s="499"/>
      <c r="B22" s="18" t="s">
        <v>30</v>
      </c>
      <c r="C22" s="19">
        <f>'[7]F 4 TRI _ Granulo'!K9</f>
        <v>0</v>
      </c>
      <c r="D22" s="20">
        <f>'[7]F 4 TRI _ Granulo'!H9</f>
        <v>0</v>
      </c>
      <c r="E22" s="20">
        <f>'[7]F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92"/>
      <c r="J22" s="492"/>
    </row>
    <row r="23" spans="1:10" x14ac:dyDescent="0.25">
      <c r="A23" s="493" t="s">
        <v>31</v>
      </c>
      <c r="B23" s="18" t="s">
        <v>32</v>
      </c>
      <c r="C23" s="19">
        <f>'[7]F 4 TRI _ Granulo'!K10</f>
        <v>6.8000000000000074E-2</v>
      </c>
      <c r="D23" s="20">
        <f>'[7]F 4 TRI _ Granulo'!H10</f>
        <v>0.39000000000000012</v>
      </c>
      <c r="E23" s="20">
        <f>'[7]F 4 TRI _ Granulo'!E10</f>
        <v>0</v>
      </c>
      <c r="F23" s="20">
        <f t="shared" si="1"/>
        <v>0.45800000000000018</v>
      </c>
      <c r="G23" s="21">
        <f t="shared" si="0"/>
        <v>6.1016551738838527E-3</v>
      </c>
      <c r="H23" s="21">
        <f>'[7]Calcul sous cat &gt;20'!N32/100</f>
        <v>5.648068790565489E-3</v>
      </c>
      <c r="I23" s="496">
        <f>G23+G24+G25+G26+G27</f>
        <v>0.1369008920673154</v>
      </c>
      <c r="J23" s="496">
        <f>'[7]Calcul sous cat &gt;20'!N9/100</f>
        <v>0.1243127532580898</v>
      </c>
    </row>
    <row r="24" spans="1:10" x14ac:dyDescent="0.25">
      <c r="A24" s="494"/>
      <c r="B24" s="18" t="s">
        <v>33</v>
      </c>
      <c r="C24" s="19">
        <f>'[7]F 4 TRI _ Granulo'!K11</f>
        <v>0</v>
      </c>
      <c r="D24" s="20">
        <f>'[7]F 4 TRI _ Granulo'!H11</f>
        <v>0</v>
      </c>
      <c r="E24" s="20">
        <f>'[7]F 4 TRI _ Granulo'!E11</f>
        <v>0</v>
      </c>
      <c r="F24" s="20">
        <f t="shared" si="1"/>
        <v>0</v>
      </c>
      <c r="G24" s="21">
        <f t="shared" si="0"/>
        <v>0</v>
      </c>
      <c r="H24" s="21">
        <f>'[7]Calcul sous cat &gt;20'!N33/100</f>
        <v>0</v>
      </c>
      <c r="I24" s="496"/>
      <c r="J24" s="496"/>
    </row>
    <row r="25" spans="1:10" x14ac:dyDescent="0.25">
      <c r="A25" s="494"/>
      <c r="B25" s="18" t="s">
        <v>34</v>
      </c>
      <c r="C25" s="19">
        <f>'[7]F 4 TRI _ Granulo'!K12</f>
        <v>0.47600000000000048</v>
      </c>
      <c r="D25" s="20">
        <f>'[7]F 4 TRI _ Granulo'!H12</f>
        <v>1.63</v>
      </c>
      <c r="E25" s="20">
        <f>'[7]F 4 TRI _ Granulo'!E12</f>
        <v>0</v>
      </c>
      <c r="F25" s="20">
        <f t="shared" si="1"/>
        <v>2.1060000000000003</v>
      </c>
      <c r="G25" s="21">
        <f t="shared" si="0"/>
        <v>2.8056955886898233E-2</v>
      </c>
      <c r="H25" s="21">
        <f>'[7]Calcul sous cat &gt;20'!N34/100</f>
        <v>2.5067443541154262E-2</v>
      </c>
      <c r="I25" s="496"/>
      <c r="J25" s="496"/>
    </row>
    <row r="26" spans="1:10" x14ac:dyDescent="0.25">
      <c r="A26" s="494"/>
      <c r="B26" s="18" t="s">
        <v>35</v>
      </c>
      <c r="C26" s="19">
        <f>'[7]F 4 TRI _ Granulo'!K13</f>
        <v>1.156000000000001</v>
      </c>
      <c r="D26" s="20">
        <f>'[7]F 4 TRI _ Granulo'!H13</f>
        <v>2.9899999999999998</v>
      </c>
      <c r="E26" s="20">
        <f>'[7]F 4 TRI _ Granulo'!E13</f>
        <v>0</v>
      </c>
      <c r="F26" s="20">
        <f t="shared" si="1"/>
        <v>4.1460000000000008</v>
      </c>
      <c r="G26" s="21">
        <f t="shared" si="0"/>
        <v>5.5234633953979144E-2</v>
      </c>
      <c r="H26" s="21">
        <f>'[7]Calcul sous cat &gt;20'!N35/100</f>
        <v>4.9827188715128028E-2</v>
      </c>
      <c r="I26" s="496"/>
      <c r="J26" s="496"/>
    </row>
    <row r="27" spans="1:10" x14ac:dyDescent="0.25">
      <c r="A27" s="495"/>
      <c r="B27" s="18" t="s">
        <v>36</v>
      </c>
      <c r="C27" s="19">
        <f>'[7]F 4 TRI _ Granulo'!K14</f>
        <v>1.156000000000001</v>
      </c>
      <c r="D27" s="20">
        <f>'[7]F 4 TRI _ Granulo'!H14</f>
        <v>2.4099999999999997</v>
      </c>
      <c r="E27" s="20">
        <f>'[7]F 4 TRI _ Granulo'!E14</f>
        <v>0</v>
      </c>
      <c r="F27" s="20">
        <f t="shared" si="1"/>
        <v>3.5660000000000007</v>
      </c>
      <c r="G27" s="21">
        <f t="shared" si="0"/>
        <v>4.7507647052554176E-2</v>
      </c>
      <c r="H27" s="21">
        <f>'[7]Calcul sous cat &gt;20'!N36/100</f>
        <v>4.3770052211242014E-2</v>
      </c>
      <c r="I27" s="496"/>
      <c r="J27" s="496"/>
    </row>
    <row r="28" spans="1:10" x14ac:dyDescent="0.25">
      <c r="A28" s="493" t="s">
        <v>37</v>
      </c>
      <c r="B28" s="18" t="s">
        <v>38</v>
      </c>
      <c r="C28" s="19">
        <f>'[7]F 4 TRI _ Granulo'!K15</f>
        <v>3.0600000000000014</v>
      </c>
      <c r="D28" s="20">
        <f>'[7]F 4 TRI _ Granulo'!H15</f>
        <v>0.4700000000000002</v>
      </c>
      <c r="E28" s="20">
        <f>'[7]F 4 TRI _ Granulo'!E15</f>
        <v>0</v>
      </c>
      <c r="F28" s="20">
        <f t="shared" si="1"/>
        <v>3.5300000000000016</v>
      </c>
      <c r="G28" s="21">
        <f t="shared" si="0"/>
        <v>4.7028040969017471E-2</v>
      </c>
      <c r="H28" s="21">
        <f>'[7]Calcul sous cat &gt;20'!N37/100</f>
        <v>4.267265812978132E-2</v>
      </c>
      <c r="I28" s="496">
        <f>G28+G29+G30</f>
        <v>0.13031963080989484</v>
      </c>
      <c r="J28" s="496">
        <f>'[7]Calcul sous cat &gt;20'!N10/100</f>
        <v>0.11835097617063614</v>
      </c>
    </row>
    <row r="29" spans="1:10" x14ac:dyDescent="0.25">
      <c r="A29" s="494"/>
      <c r="B29" s="18" t="s">
        <v>39</v>
      </c>
      <c r="C29" s="19">
        <f>'[7]F 4 TRI _ Granulo'!K16</f>
        <v>1.2920000000000014</v>
      </c>
      <c r="D29" s="20">
        <f>'[7]F 4 TRI _ Granulo'!H16</f>
        <v>2.08</v>
      </c>
      <c r="E29" s="20">
        <f>'[7]F 4 TRI _ Granulo'!E16</f>
        <v>2.88</v>
      </c>
      <c r="F29" s="20">
        <f t="shared" si="1"/>
        <v>6.2520000000000016</v>
      </c>
      <c r="G29" s="21">
        <f t="shared" si="0"/>
        <v>8.3291589840877381E-2</v>
      </c>
      <c r="H29" s="21">
        <f>'[7]Calcul sous cat &gt;20'!N38/100</f>
        <v>7.5678318040854814E-2</v>
      </c>
      <c r="I29" s="496"/>
      <c r="J29" s="496"/>
    </row>
    <row r="30" spans="1:10" x14ac:dyDescent="0.25">
      <c r="A30" s="495"/>
      <c r="B30" s="18" t="s">
        <v>40</v>
      </c>
      <c r="C30" s="19">
        <f>'[7]F 4 TRI _ Granulo'!K17</f>
        <v>0</v>
      </c>
      <c r="D30" s="20">
        <f>'[7]F 4 TRI _ Granulo'!H17</f>
        <v>0</v>
      </c>
      <c r="E30" s="20">
        <f>'[7]F 4 TRI _ Granulo'!E17</f>
        <v>0</v>
      </c>
      <c r="F30" s="20">
        <f t="shared" si="1"/>
        <v>0</v>
      </c>
      <c r="G30" s="21">
        <f t="shared" si="0"/>
        <v>0</v>
      </c>
      <c r="H30" s="21">
        <f>'[7]Calcul sous cat &gt;20'!N39/100</f>
        <v>0</v>
      </c>
      <c r="I30" s="496"/>
      <c r="J30" s="496"/>
    </row>
    <row r="31" spans="1:10" ht="15" customHeight="1" x14ac:dyDescent="0.25">
      <c r="A31" s="500" t="s">
        <v>41</v>
      </c>
      <c r="B31" s="18" t="s">
        <v>42</v>
      </c>
      <c r="C31" s="19">
        <f>'[7]F 4 TRI _ Granulo'!K18</f>
        <v>0.20400000000000018</v>
      </c>
      <c r="D31" s="20">
        <f>'[7]F 4 TRI _ Granulo'!H18</f>
        <v>0.19000000000000017</v>
      </c>
      <c r="E31" s="20">
        <f>'[7]F 4 TRI _ Granulo'!E18</f>
        <v>0</v>
      </c>
      <c r="F31" s="20">
        <f t="shared" si="1"/>
        <v>0.39400000000000035</v>
      </c>
      <c r="G31" s="21">
        <f t="shared" si="0"/>
        <v>5.2490221364852379E-3</v>
      </c>
      <c r="H31" s="175">
        <f>G31*J31/I31</f>
        <v>6.0001650456305835E-3</v>
      </c>
      <c r="I31" s="503">
        <f>G31+G32+G33+G34</f>
        <v>1.0178306883945994E-2</v>
      </c>
      <c r="J31" s="503">
        <f>'[7]Calcul sous cat &gt;20'!N11/100</f>
        <v>1.1634837804217679E-2</v>
      </c>
    </row>
    <row r="32" spans="1:10" x14ac:dyDescent="0.25">
      <c r="A32" s="501"/>
      <c r="B32" s="18" t="s">
        <v>43</v>
      </c>
      <c r="C32" s="19">
        <f>'[7]F 4 TRI _ Granulo'!K19</f>
        <v>0.3400000000000003</v>
      </c>
      <c r="D32" s="20">
        <f>'[7]F 4 TRI _ Granulo'!H19</f>
        <v>3.0000000000000027E-2</v>
      </c>
      <c r="E32" s="20">
        <f>'[7]F 4 TRI _ Granulo'!E19</f>
        <v>0</v>
      </c>
      <c r="F32" s="20">
        <f t="shared" si="1"/>
        <v>0.37000000000000033</v>
      </c>
      <c r="G32" s="21">
        <f t="shared" si="0"/>
        <v>4.9292847474607564E-3</v>
      </c>
      <c r="H32" s="175">
        <f>G32*J31/I31</f>
        <v>5.6346727585870953E-3</v>
      </c>
      <c r="I32" s="504"/>
      <c r="J32" s="504"/>
    </row>
    <row r="33" spans="1:10" ht="25.5" x14ac:dyDescent="0.25">
      <c r="A33" s="501"/>
      <c r="B33" s="18" t="s">
        <v>44</v>
      </c>
      <c r="C33" s="19">
        <f>'[7]F 4 TRI _ Granulo'!K20</f>
        <v>0</v>
      </c>
      <c r="D33" s="20">
        <f>'[7]F 4 TRI _ Granulo'!H20</f>
        <v>0</v>
      </c>
      <c r="E33" s="20">
        <f>'[7]F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x14ac:dyDescent="0.25">
      <c r="A34" s="502"/>
      <c r="B34" s="18" t="s">
        <v>120</v>
      </c>
      <c r="C34" s="19">
        <f>'[7]F 4 TRI _ Granulo'!K21</f>
        <v>0</v>
      </c>
      <c r="D34" s="20">
        <f>'[7]F 4 TRI _ Granulo'!H21</f>
        <v>0</v>
      </c>
      <c r="E34" s="20">
        <f>'[7]F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ht="15" customHeight="1" x14ac:dyDescent="0.25">
      <c r="A35" s="237" t="s">
        <v>45</v>
      </c>
      <c r="B35" s="18" t="s">
        <v>46</v>
      </c>
      <c r="C35" s="19">
        <f>'[7]F 4 TRI _ Granulo'!K22</f>
        <v>0.8840000000000009</v>
      </c>
      <c r="D35" s="20">
        <f>'[7]F 4 TRI _ Granulo'!H22</f>
        <v>1.4700000000000002</v>
      </c>
      <c r="E35" s="20">
        <f>'[7]F 4 TRI _ Granulo'!E22</f>
        <v>0</v>
      </c>
      <c r="F35" s="20">
        <f t="shared" si="1"/>
        <v>2.354000000000001</v>
      </c>
      <c r="G35" s="21">
        <f t="shared" si="0"/>
        <v>3.1360908906817878E-2</v>
      </c>
      <c r="H35" s="21">
        <f>'[7]Calcul sous cat &gt;20'!N43/100</f>
        <v>2.8457244876337856E-2</v>
      </c>
      <c r="I35" s="238">
        <f>G35</f>
        <v>3.1360908906817878E-2</v>
      </c>
      <c r="J35" s="238">
        <f>'[7]Calcul sous cat &gt;20'!N12/100</f>
        <v>2.8457244876337856E-2</v>
      </c>
    </row>
    <row r="36" spans="1:10" ht="15" customHeight="1" x14ac:dyDescent="0.25">
      <c r="A36" s="493" t="s">
        <v>47</v>
      </c>
      <c r="B36" s="18" t="s">
        <v>48</v>
      </c>
      <c r="C36" s="19">
        <f>'[7]F 4 TRI _ Granulo'!K23</f>
        <v>0.61200000000000054</v>
      </c>
      <c r="D36" s="20">
        <f>'[7]F 4 TRI _ Granulo'!H23</f>
        <v>1.0000000000000009E-2</v>
      </c>
      <c r="E36" s="20">
        <f>'[7]F 4 TRI _ Granulo'!E23</f>
        <v>0</v>
      </c>
      <c r="F36" s="20">
        <f t="shared" si="1"/>
        <v>0.62200000000000055</v>
      </c>
      <c r="G36" s="21">
        <f t="shared" si="0"/>
        <v>8.2865273322178124E-3</v>
      </c>
      <c r="H36" s="21">
        <f>'[7]Calcul sous cat &gt;20'!N44/100</f>
        <v>7.8679964124542846E-3</v>
      </c>
      <c r="I36" s="496">
        <f>G36+G37</f>
        <v>4.3750732731516528E-2</v>
      </c>
      <c r="J36" s="496">
        <f>'[7]Calcul sous cat &gt;20'!N13/100</f>
        <v>4.0816836073734722E-2</v>
      </c>
    </row>
    <row r="37" spans="1:10" ht="25.5" x14ac:dyDescent="0.25">
      <c r="A37" s="495"/>
      <c r="B37" s="18" t="s">
        <v>49</v>
      </c>
      <c r="C37" s="19">
        <f>'[7]F 4 TRI _ Granulo'!K24</f>
        <v>2.652000000000001</v>
      </c>
      <c r="D37" s="20">
        <f>'[7]F 4 TRI _ Granulo'!H24</f>
        <v>1.0000000000000009E-2</v>
      </c>
      <c r="E37" s="20">
        <f>'[7]F 4 TRI _ Granulo'!E24</f>
        <v>0</v>
      </c>
      <c r="F37" s="20">
        <f t="shared" si="1"/>
        <v>2.6620000000000008</v>
      </c>
      <c r="G37" s="21">
        <f t="shared" si="0"/>
        <v>3.5464205399298718E-2</v>
      </c>
      <c r="H37" s="21">
        <f>'[7]Calcul sous cat &gt;20'!N45/100</f>
        <v>3.2948839661280434E-2</v>
      </c>
      <c r="I37" s="496"/>
      <c r="J37" s="496"/>
    </row>
    <row r="38" spans="1:10" x14ac:dyDescent="0.25">
      <c r="A38" s="493" t="s">
        <v>50</v>
      </c>
      <c r="B38" s="18" t="s">
        <v>51</v>
      </c>
      <c r="C38" s="19">
        <f>'[7]F 4 TRI _ Granulo'!K25</f>
        <v>1.8360000000000001</v>
      </c>
      <c r="D38" s="20">
        <f>'[7]F 4 TRI _ Granulo'!H25</f>
        <v>4.91</v>
      </c>
      <c r="E38" s="20">
        <f>'[7]F 4 TRI _ Granulo'!E25</f>
        <v>0</v>
      </c>
      <c r="F38" s="20">
        <f t="shared" si="1"/>
        <v>6.7460000000000004</v>
      </c>
      <c r="G38" s="21">
        <f t="shared" si="0"/>
        <v>8.9872851098297943E-2</v>
      </c>
      <c r="H38" s="21">
        <f>'[7]Calcul sous cat &gt;20'!N46/100</f>
        <v>9.268081343673211E-2</v>
      </c>
      <c r="I38" s="496">
        <f>G38+G39+G40+G41+G42</f>
        <v>0.19120295863663983</v>
      </c>
      <c r="J38" s="496">
        <f>'[7]Calcul sous cat &gt;20'!N14/100</f>
        <v>0.19574788697124895</v>
      </c>
    </row>
    <row r="39" spans="1:10" x14ac:dyDescent="0.25">
      <c r="A39" s="494"/>
      <c r="B39" s="18" t="s">
        <v>52</v>
      </c>
      <c r="C39" s="19">
        <f>'[7]F 4 TRI _ Granulo'!K26</f>
        <v>0.20400000000000018</v>
      </c>
      <c r="D39" s="20">
        <f>'[7]F 4 TRI _ Granulo'!H26</f>
        <v>0.4700000000000002</v>
      </c>
      <c r="E39" s="20">
        <f>'[7]F 4 TRI _ Granulo'!E26</f>
        <v>0</v>
      </c>
      <c r="F39" s="20">
        <f t="shared" si="1"/>
        <v>0.67400000000000038</v>
      </c>
      <c r="G39" s="21">
        <f t="shared" si="0"/>
        <v>8.9792916751041865E-3</v>
      </c>
      <c r="H39" s="21">
        <f>'[7]Calcul sous cat &gt;20'!N47/100</f>
        <v>8.2712663655093912E-3</v>
      </c>
      <c r="I39" s="496"/>
      <c r="J39" s="496"/>
    </row>
    <row r="40" spans="1:10" ht="25.5" x14ac:dyDescent="0.25">
      <c r="A40" s="494"/>
      <c r="B40" s="18" t="s">
        <v>53</v>
      </c>
      <c r="C40" s="19">
        <f>'[7]F 4 TRI _ Granulo'!K27</f>
        <v>0</v>
      </c>
      <c r="D40" s="20">
        <f>'[7]F 4 TRI _ Granulo'!H27</f>
        <v>0.25</v>
      </c>
      <c r="E40" s="20">
        <f>'[7]F 4 TRI _ Granulo'!E27</f>
        <v>0</v>
      </c>
      <c r="F40" s="20">
        <f t="shared" si="1"/>
        <v>0.25</v>
      </c>
      <c r="G40" s="21">
        <f t="shared" si="0"/>
        <v>3.3305978023383462E-3</v>
      </c>
      <c r="H40" s="21">
        <f>'[7]Calcul sous cat &gt;20'!N48/100</f>
        <v>3.0671593587698275E-3</v>
      </c>
      <c r="I40" s="496"/>
      <c r="J40" s="496"/>
    </row>
    <row r="41" spans="1:10" x14ac:dyDescent="0.25">
      <c r="A41" s="494"/>
      <c r="B41" s="18" t="s">
        <v>54</v>
      </c>
      <c r="C41" s="19">
        <f>'[7]F 4 TRI _ Granulo'!K28</f>
        <v>2.2440000000000007</v>
      </c>
      <c r="D41" s="20">
        <f>'[7]F 4 TRI _ Granulo'!H28</f>
        <v>2.5399999999999996</v>
      </c>
      <c r="E41" s="20">
        <f>'[7]F 4 TRI _ Granulo'!E28</f>
        <v>0</v>
      </c>
      <c r="F41" s="20">
        <f t="shared" si="1"/>
        <v>4.7840000000000007</v>
      </c>
      <c r="G41" s="21">
        <f t="shared" si="0"/>
        <v>6.3734319545546606E-2</v>
      </c>
      <c r="H41" s="21">
        <f>'[7]Calcul sous cat &gt;20'!N49/100</f>
        <v>6.5670233802383682E-2</v>
      </c>
      <c r="I41" s="496"/>
      <c r="J41" s="496"/>
    </row>
    <row r="42" spans="1:10" x14ac:dyDescent="0.25">
      <c r="A42" s="495"/>
      <c r="B42" s="18" t="s">
        <v>55</v>
      </c>
      <c r="C42" s="19">
        <f>'[7]F 4 TRI _ Granulo'!K29</f>
        <v>1.4280000000000013</v>
      </c>
      <c r="D42" s="20">
        <f>'[7]F 4 TRI _ Granulo'!H29</f>
        <v>0.4700000000000002</v>
      </c>
      <c r="E42" s="20">
        <f>'[7]F 4 TRI _ Granulo'!E29</f>
        <v>0</v>
      </c>
      <c r="F42" s="20">
        <f t="shared" si="1"/>
        <v>1.8980000000000015</v>
      </c>
      <c r="G42" s="21">
        <f t="shared" si="0"/>
        <v>2.5285898515352744E-2</v>
      </c>
      <c r="H42" s="21">
        <f>'[7]Calcul sous cat &gt;20'!N50/100</f>
        <v>2.6058414007853924E-2</v>
      </c>
      <c r="I42" s="496"/>
      <c r="J42" s="496"/>
    </row>
    <row r="43" spans="1:10" ht="38.25" x14ac:dyDescent="0.25">
      <c r="A43" s="237" t="s">
        <v>56</v>
      </c>
      <c r="B43" s="18" t="s">
        <v>56</v>
      </c>
      <c r="C43" s="19">
        <f>'[7]F 4 TRI _ Granulo'!K30</f>
        <v>2.2440000000000007</v>
      </c>
      <c r="D43" s="20">
        <f>'[7]F 4 TRI _ Granulo'!H30</f>
        <v>9.000000000000008E-2</v>
      </c>
      <c r="E43" s="20">
        <f>'[7]F 4 TRI _ Granulo'!E30</f>
        <v>0</v>
      </c>
      <c r="F43" s="20">
        <f t="shared" si="1"/>
        <v>2.3340000000000005</v>
      </c>
      <c r="G43" s="21">
        <f t="shared" si="0"/>
        <v>3.1094461082630805E-2</v>
      </c>
      <c r="H43" s="21">
        <f>J43</f>
        <v>2.8813876890007237E-2</v>
      </c>
      <c r="I43" s="238">
        <f>G43</f>
        <v>3.1094461082630805E-2</v>
      </c>
      <c r="J43" s="238">
        <f>'[7]Calcul sous cat &gt;20'!N15/100</f>
        <v>2.8813876890007237E-2</v>
      </c>
    </row>
    <row r="44" spans="1:10" ht="25.5" x14ac:dyDescent="0.25">
      <c r="A44" s="493" t="s">
        <v>57</v>
      </c>
      <c r="B44" s="18" t="s">
        <v>58</v>
      </c>
      <c r="C44" s="19">
        <f>'[7]F 4 TRI _ Granulo'!K31</f>
        <v>1.156000000000001</v>
      </c>
      <c r="D44" s="20">
        <f>'[7]F 4 TRI _ Granulo'!H31</f>
        <v>0.53000000000000025</v>
      </c>
      <c r="E44" s="20">
        <f>'[7]F 4 TRI _ Granulo'!E31</f>
        <v>0</v>
      </c>
      <c r="F44" s="20">
        <f t="shared" si="1"/>
        <v>1.6860000000000013</v>
      </c>
      <c r="G44" s="21">
        <f t="shared" si="0"/>
        <v>2.2461551578969823E-2</v>
      </c>
      <c r="H44" s="21">
        <f>G44*J44/I44</f>
        <v>2.035895791838312E-2</v>
      </c>
      <c r="I44" s="496">
        <f>G44+G45</f>
        <v>4.0819806665458799E-2</v>
      </c>
      <c r="J44" s="496">
        <f>'[7]Calcul sous cat &gt;20'!N16/100</f>
        <v>3.6998723049778103E-2</v>
      </c>
    </row>
    <row r="45" spans="1:10" x14ac:dyDescent="0.25">
      <c r="A45" s="495"/>
      <c r="B45" s="18" t="s">
        <v>59</v>
      </c>
      <c r="C45" s="19">
        <f>'[7]F 4 TRI _ Granulo'!K32</f>
        <v>0.74800000000000078</v>
      </c>
      <c r="D45" s="20">
        <f>'[7]F 4 TRI _ Granulo'!H32</f>
        <v>0.62999999999999989</v>
      </c>
      <c r="E45" s="20">
        <f>'[7]F 4 TRI _ Granulo'!E32</f>
        <v>0</v>
      </c>
      <c r="F45" s="20">
        <f t="shared" si="1"/>
        <v>1.3780000000000006</v>
      </c>
      <c r="G45" s="21">
        <f t="shared" si="0"/>
        <v>1.8358255086488973E-2</v>
      </c>
      <c r="H45" s="21">
        <f>G45*J44/I44</f>
        <v>1.6639765131394979E-2</v>
      </c>
      <c r="I45" s="496"/>
      <c r="J45" s="496"/>
    </row>
    <row r="46" spans="1:10" ht="25.5" x14ac:dyDescent="0.25">
      <c r="A46" s="493" t="s">
        <v>60</v>
      </c>
      <c r="B46" s="18" t="s">
        <v>61</v>
      </c>
      <c r="C46" s="19">
        <f>'[7]F 4 TRI _ Granulo'!K33</f>
        <v>0.74800000000000078</v>
      </c>
      <c r="D46" s="20">
        <f>'[7]F 4 TRI _ Granulo'!H33</f>
        <v>0.93000000000000016</v>
      </c>
      <c r="E46" s="20">
        <f>'[7]F 4 TRI _ Granulo'!E33</f>
        <v>0</v>
      </c>
      <c r="F46" s="20">
        <f t="shared" si="1"/>
        <v>1.6780000000000008</v>
      </c>
      <c r="G46" s="21">
        <f t="shared" si="0"/>
        <v>2.2354972449294991E-2</v>
      </c>
      <c r="H46" s="21">
        <f t="shared" ref="H46:H51" si="2">G46*$J$46/$I$46</f>
        <v>2.0921344459713966E-2</v>
      </c>
      <c r="I46" s="496">
        <f>G46+G47+G50+G51+G48+G49</f>
        <v>2.2488196361388525E-2</v>
      </c>
      <c r="J46" s="496">
        <f>'[7]Calcul sous cat &gt;20'!N17/100</f>
        <v>2.1046024700832645E-2</v>
      </c>
    </row>
    <row r="47" spans="1:10" x14ac:dyDescent="0.25">
      <c r="A47" s="494"/>
      <c r="B47" s="18" t="s">
        <v>62</v>
      </c>
      <c r="C47" s="19">
        <f>'[7]F 4 TRI _ Granulo'!K34</f>
        <v>0</v>
      </c>
      <c r="D47" s="20">
        <f>'[7]F 4 TRI _ Granulo'!H34</f>
        <v>1.0000000000000009E-2</v>
      </c>
      <c r="E47" s="20">
        <f>'[7]F 4 TRI _ Granulo'!E34</f>
        <v>0</v>
      </c>
      <c r="F47" s="20">
        <f t="shared" si="1"/>
        <v>1.0000000000000009E-2</v>
      </c>
      <c r="G47" s="21">
        <f t="shared" si="0"/>
        <v>1.3322391209353397E-4</v>
      </c>
      <c r="H47" s="21">
        <f t="shared" si="2"/>
        <v>1.2468024111867687E-4</v>
      </c>
      <c r="I47" s="496"/>
      <c r="J47" s="496"/>
    </row>
    <row r="48" spans="1:10" x14ac:dyDescent="0.25">
      <c r="A48" s="494"/>
      <c r="B48" s="18" t="s">
        <v>63</v>
      </c>
      <c r="C48" s="19">
        <f>'[7]F 4 TRI _ Granulo'!K35</f>
        <v>0</v>
      </c>
      <c r="D48" s="20">
        <f>'[7]F 4 TRI _ Granulo'!H35</f>
        <v>0</v>
      </c>
      <c r="E48" s="20">
        <f>'[7]F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x14ac:dyDescent="0.25">
      <c r="A49" s="494"/>
      <c r="B49" s="18" t="s">
        <v>64</v>
      </c>
      <c r="C49" s="19">
        <f>'[7]F 4 TRI _ Granulo'!K36</f>
        <v>0</v>
      </c>
      <c r="D49" s="20">
        <f>'[7]F 4 TRI _ Granulo'!H36</f>
        <v>0</v>
      </c>
      <c r="E49" s="20">
        <f>'[7]F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x14ac:dyDescent="0.25">
      <c r="A50" s="494"/>
      <c r="B50" s="18" t="s">
        <v>65</v>
      </c>
      <c r="C50" s="19">
        <f>'[7]F 4 TRI _ Granulo'!K37</f>
        <v>0</v>
      </c>
      <c r="D50" s="20">
        <f>'[7]F 4 TRI _ Granulo'!H37</f>
        <v>0</v>
      </c>
      <c r="E50" s="20">
        <f>'[7]F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x14ac:dyDescent="0.25">
      <c r="A51" s="495"/>
      <c r="B51" s="18" t="s">
        <v>66</v>
      </c>
      <c r="C51" s="19">
        <f>'[7]F 4 TRI _ Granulo'!K38</f>
        <v>0</v>
      </c>
      <c r="D51" s="20">
        <f>'[7]F 4 TRI _ Granulo'!H38</f>
        <v>0</v>
      </c>
      <c r="E51" s="20">
        <f>'[7]F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496"/>
      <c r="J51" s="496"/>
    </row>
    <row r="52" spans="1:10" ht="15" customHeight="1" x14ac:dyDescent="0.25">
      <c r="A52" s="240" t="s">
        <v>67</v>
      </c>
      <c r="B52" s="18" t="s">
        <v>68</v>
      </c>
      <c r="C52" s="19">
        <f>'[7]F 4 TRI _ Granulo'!K39</f>
        <v>1.0200000000000009</v>
      </c>
      <c r="D52" s="20">
        <f>'[7]F 4 TRI _ Granulo'!H39</f>
        <v>2.5999999999999999E-2</v>
      </c>
      <c r="E52" s="20">
        <f>'[7]F 4 TRI _ Granulo'!E39</f>
        <v>0</v>
      </c>
      <c r="F52" s="20">
        <f t="shared" si="1"/>
        <v>1.0460000000000009</v>
      </c>
      <c r="G52" s="21">
        <f t="shared" si="0"/>
        <v>1.3935221204983653E-2</v>
      </c>
      <c r="H52" s="21">
        <f>J52</f>
        <v>1.442190987117512E-2</v>
      </c>
      <c r="I52" s="241">
        <f>G52</f>
        <v>1.3935221204983653E-2</v>
      </c>
      <c r="J52" s="241">
        <f>'[7]Calcul sous cat &gt;20'!N18/100</f>
        <v>1.442190987117512E-2</v>
      </c>
    </row>
    <row r="53" spans="1:10" ht="15" customHeight="1" x14ac:dyDescent="0.25">
      <c r="A53" s="493" t="s">
        <v>69</v>
      </c>
      <c r="B53" s="18" t="s">
        <v>121</v>
      </c>
      <c r="C53" s="19">
        <f>'[7]F 4 TRI _ Granulo'!K40</f>
        <v>0</v>
      </c>
      <c r="D53" s="20">
        <f>'[7]F 4 TRI _ Granulo'!H40</f>
        <v>0</v>
      </c>
      <c r="E53" s="20">
        <f>'[7]F 4 TRI _ Granulo'!E40</f>
        <v>0</v>
      </c>
      <c r="F53" s="20">
        <f t="shared" si="1"/>
        <v>0</v>
      </c>
      <c r="G53" s="249">
        <f t="shared" si="0"/>
        <v>0</v>
      </c>
      <c r="H53" s="209">
        <v>0</v>
      </c>
      <c r="I53" s="507">
        <f>SUM(G53:G62)</f>
        <v>3.8048749293913267E-3</v>
      </c>
      <c r="J53" s="507">
        <f>'[7]Calcul sous cat &gt;20'!N19/100</f>
        <v>3.5214644863238278E-3</v>
      </c>
    </row>
    <row r="54" spans="1:10" ht="25.5" x14ac:dyDescent="0.25">
      <c r="A54" s="494"/>
      <c r="B54" s="18" t="s">
        <v>70</v>
      </c>
      <c r="C54" s="19">
        <f>'[7]F 4 TRI _ Granulo'!K41</f>
        <v>0</v>
      </c>
      <c r="D54" s="20">
        <f>'[7]F 4 TRI _ Granulo'!H41</f>
        <v>0</v>
      </c>
      <c r="E54" s="20">
        <f>'[7]F 4 TRI _ Granulo'!E41</f>
        <v>0</v>
      </c>
      <c r="F54" s="20">
        <f t="shared" si="1"/>
        <v>0</v>
      </c>
      <c r="G54" s="249">
        <f t="shared" si="0"/>
        <v>0</v>
      </c>
      <c r="H54" s="21">
        <v>0</v>
      </c>
      <c r="I54" s="507"/>
      <c r="J54" s="507"/>
    </row>
    <row r="55" spans="1:10" x14ac:dyDescent="0.25">
      <c r="A55" s="494"/>
      <c r="B55" s="18" t="s">
        <v>71</v>
      </c>
      <c r="C55" s="19">
        <f>'[7]F 4 TRI _ Granulo'!K42</f>
        <v>0</v>
      </c>
      <c r="D55" s="20">
        <f>'[7]F 4 TRI _ Granulo'!H42</f>
        <v>0</v>
      </c>
      <c r="E55" s="20">
        <f>'[7]F 4 TRI _ Granulo'!E42</f>
        <v>0</v>
      </c>
      <c r="F55" s="20">
        <f>SUM(C55:E55)</f>
        <v>0</v>
      </c>
      <c r="G55" s="249">
        <f t="shared" si="0"/>
        <v>0</v>
      </c>
      <c r="H55" s="21">
        <v>0</v>
      </c>
      <c r="I55" s="507"/>
      <c r="J55" s="507"/>
    </row>
    <row r="56" spans="1:10" x14ac:dyDescent="0.25">
      <c r="A56" s="494"/>
      <c r="B56" s="18" t="s">
        <v>72</v>
      </c>
      <c r="C56" s="19">
        <f>'[7]F 4 TRI _ Granulo'!K43</f>
        <v>0.16320000000000001</v>
      </c>
      <c r="D56" s="20">
        <f>'[7]F 4 TRI _ Granulo'!H43</f>
        <v>0</v>
      </c>
      <c r="E56" s="20">
        <f>'[7]F 4 TRI _ Granulo'!E43</f>
        <v>0</v>
      </c>
      <c r="F56" s="20">
        <f t="shared" si="1"/>
        <v>0.16320000000000001</v>
      </c>
      <c r="G56" s="249">
        <f>F56/$F$64</f>
        <v>2.1742142453664726E-3</v>
      </c>
      <c r="H56" s="21">
        <v>2E-3</v>
      </c>
      <c r="I56" s="507"/>
      <c r="J56" s="507"/>
    </row>
    <row r="57" spans="1:10" x14ac:dyDescent="0.25">
      <c r="A57" s="494"/>
      <c r="B57" s="18" t="s">
        <v>122</v>
      </c>
      <c r="C57" s="19">
        <f>'[7]F 4 TRI _ Granulo'!K44</f>
        <v>0</v>
      </c>
      <c r="D57" s="20">
        <f>'[7]F 4 TRI _ Granulo'!H44</f>
        <v>0</v>
      </c>
      <c r="E57" s="20">
        <f>'[7]F 4 TRI _ Granulo'!E44</f>
        <v>0</v>
      </c>
      <c r="F57" s="20">
        <f t="shared" si="1"/>
        <v>0</v>
      </c>
      <c r="G57" s="249">
        <f t="shared" ref="G57:G62" si="3">F57/$F$64</f>
        <v>0</v>
      </c>
      <c r="H57" s="21">
        <v>0</v>
      </c>
      <c r="I57" s="507"/>
      <c r="J57" s="507"/>
    </row>
    <row r="58" spans="1:10" x14ac:dyDescent="0.25">
      <c r="A58" s="494"/>
      <c r="B58" s="18" t="s">
        <v>123</v>
      </c>
      <c r="C58" s="19">
        <f>'[7]F 4 TRI _ Granulo'!K45</f>
        <v>0</v>
      </c>
      <c r="D58" s="20">
        <f>'[7]F 4 TRI _ Granulo'!H45</f>
        <v>0</v>
      </c>
      <c r="E58" s="20">
        <f>'[7]F 4 TRI _ Granulo'!E45</f>
        <v>0</v>
      </c>
      <c r="F58" s="20">
        <f t="shared" si="1"/>
        <v>0</v>
      </c>
      <c r="G58" s="249">
        <f t="shared" si="3"/>
        <v>0</v>
      </c>
      <c r="H58" s="21">
        <v>0</v>
      </c>
      <c r="I58" s="507"/>
      <c r="J58" s="507"/>
    </row>
    <row r="59" spans="1:10" x14ac:dyDescent="0.25">
      <c r="A59" s="494"/>
      <c r="B59" s="18" t="s">
        <v>124</v>
      </c>
      <c r="C59" s="19">
        <f>'[7]F 4 TRI _ Granulo'!K46</f>
        <v>0</v>
      </c>
      <c r="D59" s="20">
        <f>'[7]F 4 TRI _ Granulo'!H46</f>
        <v>0</v>
      </c>
      <c r="E59" s="20">
        <f>'[7]F 4 TRI _ Granulo'!E46</f>
        <v>0</v>
      </c>
      <c r="F59" s="20">
        <f t="shared" si="1"/>
        <v>0</v>
      </c>
      <c r="G59" s="249">
        <f t="shared" si="3"/>
        <v>0</v>
      </c>
      <c r="H59" s="21">
        <v>0</v>
      </c>
      <c r="I59" s="507"/>
      <c r="J59" s="507"/>
    </row>
    <row r="60" spans="1:10" x14ac:dyDescent="0.25">
      <c r="A60" s="494"/>
      <c r="B60" s="18" t="s">
        <v>125</v>
      </c>
      <c r="C60" s="19">
        <f>'[7]F 4 TRI _ Granulo'!K47</f>
        <v>0</v>
      </c>
      <c r="D60" s="20">
        <f>'[7]F 4 TRI _ Granulo'!H47</f>
        <v>0</v>
      </c>
      <c r="E60" s="20">
        <f>'[7]F 4 TRI _ Granulo'!E47</f>
        <v>0</v>
      </c>
      <c r="F60" s="20">
        <f t="shared" si="1"/>
        <v>0</v>
      </c>
      <c r="G60" s="249">
        <f t="shared" si="3"/>
        <v>0</v>
      </c>
      <c r="H60" s="21">
        <v>0</v>
      </c>
      <c r="I60" s="507"/>
      <c r="J60" s="507"/>
    </row>
    <row r="61" spans="1:10" x14ac:dyDescent="0.25">
      <c r="A61" s="494"/>
      <c r="B61" s="18" t="s">
        <v>126</v>
      </c>
      <c r="C61" s="19">
        <f>'[7]F 4 TRI _ Granulo'!K48</f>
        <v>0.12239999999999999</v>
      </c>
      <c r="D61" s="20">
        <f>'[7]F 4 TRI _ Granulo'!H48</f>
        <v>0</v>
      </c>
      <c r="E61" s="20">
        <f>'[7]F 4 TRI _ Granulo'!E48</f>
        <v>0</v>
      </c>
      <c r="F61" s="20">
        <f t="shared" si="1"/>
        <v>0.12239999999999999</v>
      </c>
      <c r="G61" s="249">
        <f t="shared" si="3"/>
        <v>1.6306606840248543E-3</v>
      </c>
      <c r="H61" s="21">
        <v>1.5E-3</v>
      </c>
      <c r="I61" s="507"/>
      <c r="J61" s="507"/>
    </row>
    <row r="62" spans="1:10" x14ac:dyDescent="0.25">
      <c r="A62" s="506"/>
      <c r="B62" s="18" t="s">
        <v>73</v>
      </c>
      <c r="C62" s="19">
        <f>'[7]F 4 TRI _ Granulo'!K49</f>
        <v>0</v>
      </c>
      <c r="D62" s="20">
        <f>'[7]F 4 TRI _ Granulo'!H49</f>
        <v>0</v>
      </c>
      <c r="E62" s="20">
        <f>'[7]F 4 TRI _ Granulo'!E49</f>
        <v>0</v>
      </c>
      <c r="F62" s="20">
        <f t="shared" si="1"/>
        <v>0</v>
      </c>
      <c r="G62" s="249">
        <f t="shared" si="3"/>
        <v>0</v>
      </c>
      <c r="H62" s="21">
        <v>0</v>
      </c>
      <c r="I62" s="507"/>
      <c r="J62" s="507"/>
    </row>
    <row r="63" spans="1:10" x14ac:dyDescent="0.25">
      <c r="A63" s="22" t="s">
        <v>74</v>
      </c>
      <c r="B63" s="23">
        <f>'[7]F 3 _ Criblage et Tri'!C27+'[7]F 3 _ Criblage et Tri'!D27</f>
        <v>14.02</v>
      </c>
      <c r="C63" s="19">
        <f>'[7]F 4 TRI _ Granulo'!K50</f>
        <v>2.4480000000000022</v>
      </c>
      <c r="D63" s="20">
        <f>'[7]F 4 TRI _ Granulo'!H50</f>
        <v>0.35999999999999988</v>
      </c>
      <c r="E63" s="20">
        <f>'[7]F 4 TRI _ Granulo'!E50</f>
        <v>0</v>
      </c>
      <c r="F63" s="19">
        <f>SUM(B63:E63)</f>
        <v>16.828000000000003</v>
      </c>
      <c r="G63" s="21">
        <f t="shared" si="0"/>
        <v>0.22418919927099878</v>
      </c>
      <c r="H63" s="21">
        <f>J63</f>
        <v>0.10992303163989642</v>
      </c>
      <c r="I63" s="24">
        <f>G63</f>
        <v>0.22418919927099878</v>
      </c>
      <c r="J63" s="24">
        <f>'[7]Calcul sous cat &gt;20'!N20/100</f>
        <v>0.10992303163989642</v>
      </c>
    </row>
    <row r="64" spans="1:10" x14ac:dyDescent="0.25">
      <c r="A64" s="25" t="s">
        <v>25</v>
      </c>
      <c r="B64" s="90">
        <f>B63</f>
        <v>14.02</v>
      </c>
      <c r="C64" s="19">
        <f>SUM(C18:C63)</f>
        <v>34.285600000000017</v>
      </c>
      <c r="D64" s="19">
        <f>SUM(D18:D63)</f>
        <v>23.875999999999998</v>
      </c>
      <c r="E64" s="19">
        <f>SUM(E18:E63)</f>
        <v>2.88</v>
      </c>
      <c r="F64" s="19">
        <f>SUM(B64:E64)</f>
        <v>75.061599999999999</v>
      </c>
      <c r="G64" s="21">
        <f t="shared" si="0"/>
        <v>1</v>
      </c>
      <c r="H64" s="21">
        <f>SUM(H18:H63)</f>
        <v>0.9999785355136761</v>
      </c>
      <c r="I64" s="24">
        <f>SUM(I18:I63)</f>
        <v>1.0000000000000004</v>
      </c>
      <c r="J64" s="24">
        <f>SUM(J18:J63)</f>
        <v>1.0000000000000002</v>
      </c>
    </row>
    <row r="65" spans="1:10" ht="51.75" x14ac:dyDescent="0.25">
      <c r="A65" s="26" t="s">
        <v>75</v>
      </c>
      <c r="B65" s="244">
        <f>B64/$F$64</f>
        <v>0.18677992475513444</v>
      </c>
      <c r="C65" s="244">
        <f>C64/$F$64</f>
        <v>0.4567661760474066</v>
      </c>
      <c r="D65" s="244">
        <f>D64/$F$64</f>
        <v>0.31808541251452138</v>
      </c>
      <c r="E65" s="244">
        <f>E64/$F$64</f>
        <v>3.8368486682937748E-2</v>
      </c>
      <c r="F65" s="244">
        <f>F64/$F$64</f>
        <v>1</v>
      </c>
      <c r="G65" s="1"/>
      <c r="H65" s="1"/>
      <c r="I65" s="1"/>
      <c r="J65" s="1"/>
    </row>
  </sheetData>
  <mergeCells count="39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B2" sqref="B2:F2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251" t="str">
        <f>'[8]F 1 _ Echant et Séchage'!D5</f>
        <v>STO H15 PB PAR</v>
      </c>
      <c r="C2" s="251"/>
      <c r="D2" s="251"/>
      <c r="E2" s="251"/>
      <c r="F2" s="251"/>
      <c r="G2" s="2"/>
      <c r="H2" s="2"/>
      <c r="I2" s="2"/>
      <c r="J2" s="2"/>
    </row>
    <row r="3" spans="1:10" s="1" customFormat="1" ht="12.75" x14ac:dyDescent="0.2">
      <c r="A3" s="1" t="s">
        <v>1</v>
      </c>
      <c r="B3" s="491" t="str">
        <f>'[8]F 1 _ Echant et Séchage'!D6</f>
        <v>AA 329 EP Paris 17</v>
      </c>
      <c r="C3" s="491"/>
      <c r="D3" s="491"/>
      <c r="E3" s="491"/>
      <c r="F3" s="491"/>
      <c r="G3" s="3"/>
      <c r="H3" s="3"/>
      <c r="I3" s="3"/>
      <c r="J3" s="3"/>
    </row>
    <row r="4" spans="1:10" s="1" customFormat="1" ht="12.75" x14ac:dyDescent="0.2">
      <c r="A4" s="1" t="s">
        <v>2</v>
      </c>
      <c r="B4" s="236"/>
      <c r="C4" s="236" t="str">
        <f>'[8]F 1 _ Echant et Séchage'!D8</f>
        <v>SAINT OUEN</v>
      </c>
      <c r="D4" s="236"/>
      <c r="E4" s="236"/>
      <c r="F4" s="236"/>
      <c r="G4" s="3"/>
      <c r="H4" s="3"/>
      <c r="I4" s="3"/>
      <c r="J4" s="3"/>
    </row>
    <row r="5" spans="1:10" s="1" customFormat="1" ht="12.75" x14ac:dyDescent="0.2">
      <c r="A5" s="1" t="s">
        <v>3</v>
      </c>
      <c r="B5" s="236"/>
      <c r="C5" s="236" t="str">
        <f>'[8]F 1 _ Echant et Séchage'!E15</f>
        <v>sec</v>
      </c>
      <c r="D5" s="236"/>
      <c r="E5" s="236"/>
      <c r="F5" s="236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86" t="s">
        <v>4</v>
      </c>
      <c r="B7" s="486"/>
      <c r="C7" s="486"/>
      <c r="D7" s="486"/>
      <c r="E7" s="486"/>
      <c r="F7" s="486"/>
      <c r="G7" s="486"/>
      <c r="H7" s="486"/>
      <c r="I7" s="486"/>
      <c r="J7" s="486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'[8]F 1 _ Echant et Séchage'!B12</f>
        <v>42040</v>
      </c>
      <c r="D9" s="485" t="s">
        <v>6</v>
      </c>
      <c r="E9" s="485"/>
      <c r="F9" s="485"/>
      <c r="G9" s="6">
        <f>'[8]F 1 _ Echant et Séchage'!G19</f>
        <v>129.89999999999998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'[8]F 1 _ Echant et Séchage'!E12</f>
        <v>0.33333333333333331</v>
      </c>
      <c r="D10" s="485" t="s">
        <v>9</v>
      </c>
      <c r="E10" s="485"/>
      <c r="F10" s="485"/>
      <c r="G10" s="236">
        <f>'[8]F 1 _ Echant et Séchage'!H26</f>
        <v>0.65</v>
      </c>
      <c r="H10" s="236"/>
      <c r="I10" s="9"/>
      <c r="J10" s="1" t="s">
        <v>10</v>
      </c>
    </row>
    <row r="11" spans="1:10" s="1" customFormat="1" ht="12.75" x14ac:dyDescent="0.2">
      <c r="B11" s="485"/>
      <c r="C11" s="485"/>
      <c r="D11" s="485" t="s">
        <v>11</v>
      </c>
      <c r="E11" s="485"/>
      <c r="F11" s="485"/>
      <c r="G11" s="10">
        <f>G9/1000/G10</f>
        <v>0.19984615384615381</v>
      </c>
      <c r="H11" s="10"/>
      <c r="I11" s="3"/>
      <c r="J11" s="3" t="s">
        <v>12</v>
      </c>
    </row>
    <row r="12" spans="1:10" s="1" customFormat="1" ht="12.75" x14ac:dyDescent="0.2">
      <c r="B12" s="7"/>
      <c r="D12" s="485" t="s">
        <v>13</v>
      </c>
      <c r="E12" s="485"/>
      <c r="F12" s="485"/>
      <c r="G12" s="233">
        <f>'[8]F 1 _ Echant et Séchage'!D51</f>
        <v>0.43391839876828325</v>
      </c>
      <c r="H12" s="11"/>
      <c r="I12" s="11"/>
    </row>
    <row r="13" spans="1:10" s="1" customFormat="1" ht="12.75" x14ac:dyDescent="0.2">
      <c r="B13" s="12"/>
      <c r="G13" s="242"/>
      <c r="H13" s="242"/>
      <c r="I13" s="242"/>
    </row>
    <row r="14" spans="1:10" s="1" customFormat="1" ht="18.75" customHeight="1" x14ac:dyDescent="0.2">
      <c r="A14" s="486" t="s">
        <v>14</v>
      </c>
      <c r="B14" s="486"/>
      <c r="C14" s="486"/>
      <c r="D14" s="486"/>
      <c r="E14" s="486"/>
      <c r="F14" s="486"/>
      <c r="G14" s="486"/>
      <c r="H14" s="486"/>
      <c r="I14" s="486"/>
      <c r="J14" s="486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87" t="s">
        <v>16</v>
      </c>
      <c r="H16" s="489" t="s">
        <v>17</v>
      </c>
      <c r="I16" s="487" t="s">
        <v>18</v>
      </c>
      <c r="J16" s="489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8"/>
      <c r="H17" s="490"/>
      <c r="I17" s="488"/>
      <c r="J17" s="490"/>
    </row>
    <row r="18" spans="1:10" s="1" customFormat="1" ht="15" customHeight="1" x14ac:dyDescent="0.2">
      <c r="A18" s="497" t="s">
        <v>26</v>
      </c>
      <c r="B18" s="18" t="s">
        <v>119</v>
      </c>
      <c r="C18" s="19">
        <f>'[8]F 4 TRI _ Granulo'!K5</f>
        <v>1.6189733840304195</v>
      </c>
      <c r="D18" s="20">
        <f>'[8]F 4 TRI _ Granulo'!H5</f>
        <v>0.1100000000000001</v>
      </c>
      <c r="E18" s="20">
        <f>'[8]F 4 TRI _ Granulo'!E5</f>
        <v>0</v>
      </c>
      <c r="F18" s="20">
        <f>SUM(C18:E18)</f>
        <v>1.7289733840304196</v>
      </c>
      <c r="G18" s="21">
        <f t="shared" ref="G18:G64" si="0">F18/$F$64</f>
        <v>3.8169422307237175E-2</v>
      </c>
      <c r="H18" s="21">
        <f>G18*J18/I18</f>
        <v>8.67885471697563E-2</v>
      </c>
      <c r="I18" s="492">
        <f>G18+G19+G20+G21+G22</f>
        <v>9.7860348364809779E-2</v>
      </c>
      <c r="J18" s="492">
        <f>'[8]Calcul sous cat &gt;20'!N8/100</f>
        <v>0.22251207764540148</v>
      </c>
    </row>
    <row r="19" spans="1:10" s="1" customFormat="1" ht="15" customHeight="1" x14ac:dyDescent="0.2">
      <c r="A19" s="498"/>
      <c r="B19" s="18" t="s">
        <v>27</v>
      </c>
      <c r="C19" s="19">
        <f>'[8]F 4 TRI _ Granulo'!K6</f>
        <v>2.2438403041825099</v>
      </c>
      <c r="D19" s="20">
        <f>'[8]F 4 TRI _ Granulo'!H6</f>
        <v>0.33000000000000007</v>
      </c>
      <c r="E19" s="20">
        <f>'[8]F 4 TRI _ Granulo'!E6</f>
        <v>0</v>
      </c>
      <c r="F19" s="20">
        <f>SUM(C19:E19)</f>
        <v>2.57384030418251</v>
      </c>
      <c r="G19" s="21">
        <f t="shared" si="0"/>
        <v>5.6821000501880221E-2</v>
      </c>
      <c r="H19" s="21">
        <f>G19*J18/I18</f>
        <v>0.12919797534779953</v>
      </c>
      <c r="I19" s="492"/>
      <c r="J19" s="492"/>
    </row>
    <row r="20" spans="1:10" s="1" customFormat="1" ht="15" customHeight="1" x14ac:dyDescent="0.2">
      <c r="A20" s="498"/>
      <c r="B20" s="18" t="s">
        <v>28</v>
      </c>
      <c r="C20" s="19">
        <f>'[8]F 4 TRI _ Granulo'!K7</f>
        <v>0</v>
      </c>
      <c r="D20" s="20">
        <f>'[8]F 4 TRI _ Granulo'!H7</f>
        <v>0</v>
      </c>
      <c r="E20" s="20">
        <f>'[8]F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92"/>
      <c r="J20" s="492"/>
    </row>
    <row r="21" spans="1:10" s="1" customFormat="1" ht="15" customHeight="1" x14ac:dyDescent="0.2">
      <c r="A21" s="498"/>
      <c r="B21" s="18" t="s">
        <v>29</v>
      </c>
      <c r="C21" s="19">
        <f>'[8]F 4 TRI _ Granulo'!K8</f>
        <v>0</v>
      </c>
      <c r="D21" s="20">
        <f>'[8]F 4 TRI _ Granulo'!H8</f>
        <v>0.13000000000000012</v>
      </c>
      <c r="E21" s="20">
        <f>'[8]F 4 TRI _ Granulo'!E8</f>
        <v>0</v>
      </c>
      <c r="F21" s="20">
        <f t="shared" si="1"/>
        <v>0.13000000000000012</v>
      </c>
      <c r="G21" s="21">
        <f t="shared" si="0"/>
        <v>2.8699255556923803E-3</v>
      </c>
      <c r="H21" s="21">
        <f>G21*J18/I18</f>
        <v>6.5255551278456374E-3</v>
      </c>
      <c r="I21" s="492"/>
      <c r="J21" s="492"/>
    </row>
    <row r="22" spans="1:10" s="1" customFormat="1" ht="15" customHeight="1" x14ac:dyDescent="0.2">
      <c r="A22" s="499"/>
      <c r="B22" s="18" t="s">
        <v>30</v>
      </c>
      <c r="C22" s="19">
        <f>'[8]F 4 TRI _ Granulo'!K9</f>
        <v>0</v>
      </c>
      <c r="D22" s="20">
        <f>'[8]F 4 TRI _ Granulo'!H9</f>
        <v>0</v>
      </c>
      <c r="E22" s="20">
        <f>'[8]F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92"/>
      <c r="J22" s="492"/>
    </row>
    <row r="23" spans="1:10" s="1" customFormat="1" ht="15" customHeight="1" x14ac:dyDescent="0.2">
      <c r="A23" s="493" t="s">
        <v>31</v>
      </c>
      <c r="B23" s="18" t="s">
        <v>32</v>
      </c>
      <c r="C23" s="19">
        <f>'[8]F 4 TRI _ Granulo'!K10</f>
        <v>0.25562737642585576</v>
      </c>
      <c r="D23" s="20">
        <f>'[8]F 4 TRI _ Granulo'!H10</f>
        <v>0.33000000000000007</v>
      </c>
      <c r="E23" s="20">
        <f>'[8]F 4 TRI _ Granulo'!E10</f>
        <v>0</v>
      </c>
      <c r="F23" s="20">
        <f t="shared" si="1"/>
        <v>0.58562737642585583</v>
      </c>
      <c r="G23" s="21">
        <f t="shared" si="0"/>
        <v>1.2928515182443413E-2</v>
      </c>
      <c r="H23" s="21">
        <f>'[8]Calcul sous cat &gt;20'!N32/100</f>
        <v>1.2166455745396897E-2</v>
      </c>
      <c r="I23" s="496">
        <f>G23+G24+G25+G26+G27</f>
        <v>0.14667006793556156</v>
      </c>
      <c r="J23" s="496">
        <f>'[8]Calcul sous cat &gt;20'!N9/100</f>
        <v>0.136497256098463</v>
      </c>
    </row>
    <row r="24" spans="1:10" s="1" customFormat="1" ht="15" customHeight="1" x14ac:dyDescent="0.2">
      <c r="A24" s="494"/>
      <c r="B24" s="18" t="s">
        <v>33</v>
      </c>
      <c r="C24" s="19">
        <f>'[8]F 4 TRI _ Granulo'!K11</f>
        <v>0.36923954372623613</v>
      </c>
      <c r="D24" s="20">
        <f>'[8]F 4 TRI _ Granulo'!H11</f>
        <v>0.13000000000000012</v>
      </c>
      <c r="E24" s="20">
        <f>'[8]F 4 TRI _ Granulo'!E11</f>
        <v>0</v>
      </c>
      <c r="F24" s="20">
        <f t="shared" si="1"/>
        <v>0.49923954372623625</v>
      </c>
      <c r="G24" s="21">
        <f t="shared" si="0"/>
        <v>1.1021387115016367E-2</v>
      </c>
      <c r="H24" s="21">
        <f>'[8]Calcul sous cat &gt;20'!N33/100</f>
        <v>1.0025094589117451E-2</v>
      </c>
      <c r="I24" s="496"/>
      <c r="J24" s="496"/>
    </row>
    <row r="25" spans="1:10" s="1" customFormat="1" ht="15" customHeight="1" x14ac:dyDescent="0.2">
      <c r="A25" s="494"/>
      <c r="B25" s="18" t="s">
        <v>34</v>
      </c>
      <c r="C25" s="19">
        <f>'[8]F 4 TRI _ Granulo'!K12</f>
        <v>0</v>
      </c>
      <c r="D25" s="20">
        <f>'[8]F 4 TRI _ Granulo'!H12</f>
        <v>0.79</v>
      </c>
      <c r="E25" s="20">
        <f>'[8]F 4 TRI _ Granulo'!E12</f>
        <v>0</v>
      </c>
      <c r="F25" s="20">
        <f t="shared" si="1"/>
        <v>0.79</v>
      </c>
      <c r="G25" s="21">
        <f t="shared" si="0"/>
        <v>1.7440316838438299E-2</v>
      </c>
      <c r="H25" s="21">
        <f>'[8]Calcul sous cat &gt;20'!N34/100</f>
        <v>1.5863776868095439E-2</v>
      </c>
      <c r="I25" s="496"/>
      <c r="J25" s="496"/>
    </row>
    <row r="26" spans="1:10" s="1" customFormat="1" ht="15" customHeight="1" x14ac:dyDescent="0.2">
      <c r="A26" s="494"/>
      <c r="B26" s="18" t="s">
        <v>35</v>
      </c>
      <c r="C26" s="19">
        <f>'[8]F 4 TRI _ Granulo'!K13</f>
        <v>0.25562737642585576</v>
      </c>
      <c r="D26" s="20">
        <f>'[8]F 4 TRI _ Granulo'!H13</f>
        <v>0.49000000000000021</v>
      </c>
      <c r="E26" s="20">
        <f>'[8]F 4 TRI _ Granulo'!E13</f>
        <v>0</v>
      </c>
      <c r="F26" s="20">
        <f t="shared" si="1"/>
        <v>0.74562737642585597</v>
      </c>
      <c r="G26" s="21">
        <f t="shared" si="0"/>
        <v>1.6460731250987883E-2</v>
      </c>
      <c r="H26" s="21">
        <f>'[8]Calcul sous cat &gt;20'!N35/100</f>
        <v>1.5120826166018932E-2</v>
      </c>
      <c r="I26" s="496"/>
      <c r="J26" s="496"/>
    </row>
    <row r="27" spans="1:10" s="1" customFormat="1" ht="15" customHeight="1" x14ac:dyDescent="0.2">
      <c r="A27" s="495"/>
      <c r="B27" s="18" t="s">
        <v>36</v>
      </c>
      <c r="C27" s="19">
        <f>'[8]F 4 TRI _ Granulo'!K14</f>
        <v>0.65326996197718634</v>
      </c>
      <c r="D27" s="20">
        <f>'[8]F 4 TRI _ Granulo'!H14</f>
        <v>3.3699999999999997</v>
      </c>
      <c r="E27" s="20">
        <f>'[8]F 4 TRI _ Granulo'!E14</f>
        <v>0</v>
      </c>
      <c r="F27" s="20">
        <f t="shared" si="1"/>
        <v>4.0232699619771859</v>
      </c>
      <c r="G27" s="21">
        <f t="shared" si="0"/>
        <v>8.8819117548675594E-2</v>
      </c>
      <c r="H27" s="21">
        <f>'[8]Calcul sous cat &gt;20'!N36/100</f>
        <v>8.3321102729834257E-2</v>
      </c>
      <c r="I27" s="496"/>
      <c r="J27" s="496"/>
    </row>
    <row r="28" spans="1:10" s="1" customFormat="1" ht="15" customHeight="1" x14ac:dyDescent="0.2">
      <c r="A28" s="493" t="s">
        <v>37</v>
      </c>
      <c r="B28" s="18" t="s">
        <v>38</v>
      </c>
      <c r="C28" s="19">
        <f>'[8]F 4 TRI _ Granulo'!K15</f>
        <v>0.59646387832699677</v>
      </c>
      <c r="D28" s="20">
        <f>'[8]F 4 TRI _ Granulo'!H15</f>
        <v>1.17</v>
      </c>
      <c r="E28" s="20">
        <f>'[8]F 4 TRI _ Granulo'!E15</f>
        <v>0</v>
      </c>
      <c r="F28" s="20">
        <f t="shared" si="1"/>
        <v>1.7664638783269968</v>
      </c>
      <c r="G28" s="21">
        <f t="shared" si="0"/>
        <v>3.8997075597062454E-2</v>
      </c>
      <c r="H28" s="21">
        <f>'[8]Calcul sous cat &gt;20'!N37/100</f>
        <v>3.6208341071106008E-2</v>
      </c>
      <c r="I28" s="496">
        <f>G28+G29+G30</f>
        <v>6.775005307137856E-2</v>
      </c>
      <c r="J28" s="496">
        <f>'[8]Calcul sous cat &gt;20'!N10/100</f>
        <v>6.305938327185974E-2</v>
      </c>
    </row>
    <row r="29" spans="1:10" s="1" customFormat="1" ht="15" customHeight="1" x14ac:dyDescent="0.2">
      <c r="A29" s="494"/>
      <c r="B29" s="18" t="s">
        <v>39</v>
      </c>
      <c r="C29" s="19">
        <f>'[8]F 4 TRI _ Granulo'!K16</f>
        <v>0</v>
      </c>
      <c r="D29" s="20">
        <f>'[8]F 4 TRI _ Granulo'!H16</f>
        <v>0.55000000000000027</v>
      </c>
      <c r="E29" s="20">
        <f>'[8]F 4 TRI _ Granulo'!E16</f>
        <v>0.44</v>
      </c>
      <c r="F29" s="20">
        <f t="shared" si="1"/>
        <v>0.99000000000000021</v>
      </c>
      <c r="G29" s="21">
        <f t="shared" si="0"/>
        <v>2.1855586924118882E-2</v>
      </c>
      <c r="H29" s="21">
        <f>'[8]Calcul sous cat &gt;20'!N38/100</f>
        <v>2.0310764946882175E-2</v>
      </c>
      <c r="I29" s="496"/>
      <c r="J29" s="496"/>
    </row>
    <row r="30" spans="1:10" s="1" customFormat="1" ht="15" customHeight="1" x14ac:dyDescent="0.2">
      <c r="A30" s="495"/>
      <c r="B30" s="18" t="s">
        <v>40</v>
      </c>
      <c r="C30" s="19">
        <f>'[8]F 4 TRI _ Granulo'!K17</f>
        <v>0.31243346007604594</v>
      </c>
      <c r="D30" s="20">
        <f>'[8]F 4 TRI _ Granulo'!H17</f>
        <v>0</v>
      </c>
      <c r="E30" s="20">
        <f>'[8]F 4 TRI _ Granulo'!E17</f>
        <v>0</v>
      </c>
      <c r="F30" s="20">
        <f t="shared" si="1"/>
        <v>0.31243346007604594</v>
      </c>
      <c r="G30" s="21">
        <f t="shared" si="0"/>
        <v>6.8973905501972192E-3</v>
      </c>
      <c r="H30" s="21">
        <f>'[8]Calcul sous cat &gt;20'!N39/100</f>
        <v>6.5402772538715494E-3</v>
      </c>
      <c r="I30" s="496"/>
      <c r="J30" s="496"/>
    </row>
    <row r="31" spans="1:10" s="1" customFormat="1" ht="15" customHeight="1" x14ac:dyDescent="0.2">
      <c r="A31" s="500" t="s">
        <v>41</v>
      </c>
      <c r="B31" s="18" t="s">
        <v>42</v>
      </c>
      <c r="C31" s="19">
        <f>'[8]F 4 TRI _ Granulo'!K18</f>
        <v>0.14201520912547544</v>
      </c>
      <c r="D31" s="20">
        <f>'[8]F 4 TRI _ Granulo'!H18</f>
        <v>0.33000000000000007</v>
      </c>
      <c r="E31" s="20">
        <f>'[8]F 4 TRI _ Granulo'!E18</f>
        <v>0</v>
      </c>
      <c r="F31" s="20">
        <f t="shared" si="1"/>
        <v>0.47201520912547551</v>
      </c>
      <c r="G31" s="21">
        <f t="shared" si="0"/>
        <v>1.0420373164189879E-2</v>
      </c>
      <c r="H31" s="250">
        <f>G31*J31/I31</f>
        <v>1.2207077407815927E-2</v>
      </c>
      <c r="I31" s="503">
        <f>G31+G32+G33+G34</f>
        <v>1.6354966226121769E-2</v>
      </c>
      <c r="J31" s="503">
        <f>'[8]Calcul sous cat &gt;20'!N11/100</f>
        <v>1.9159231207820652E-2</v>
      </c>
    </row>
    <row r="32" spans="1:10" s="1" customFormat="1" ht="15" customHeight="1" x14ac:dyDescent="0.2">
      <c r="A32" s="501"/>
      <c r="B32" s="18" t="s">
        <v>43</v>
      </c>
      <c r="C32" s="19">
        <f>'[8]F 4 TRI _ Granulo'!K19</f>
        <v>0.1988212927756656</v>
      </c>
      <c r="D32" s="20">
        <f>'[8]F 4 TRI _ Granulo'!H19</f>
        <v>7.0000000000000062E-2</v>
      </c>
      <c r="E32" s="20">
        <f>'[8]F 4 TRI _ Granulo'!E19</f>
        <v>0</v>
      </c>
      <c r="F32" s="20">
        <f t="shared" si="1"/>
        <v>0.26882129277566569</v>
      </c>
      <c r="G32" s="21">
        <f t="shared" si="0"/>
        <v>5.9345930619318903E-3</v>
      </c>
      <c r="H32" s="250">
        <f>G32*J31/I31</f>
        <v>6.9521538000047248E-3</v>
      </c>
      <c r="I32" s="504"/>
      <c r="J32" s="504"/>
    </row>
    <row r="33" spans="1:10" s="1" customFormat="1" ht="15" customHeight="1" x14ac:dyDescent="0.2">
      <c r="A33" s="501"/>
      <c r="B33" s="18" t="s">
        <v>44</v>
      </c>
      <c r="C33" s="19">
        <f>'[8]F 4 TRI _ Granulo'!K20</f>
        <v>0</v>
      </c>
      <c r="D33" s="20">
        <f>'[8]F 4 TRI _ Granulo'!H20</f>
        <v>0</v>
      </c>
      <c r="E33" s="20">
        <f>'[8]F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504"/>
      <c r="J33" s="504"/>
    </row>
    <row r="34" spans="1:10" s="1" customFormat="1" ht="15" customHeight="1" x14ac:dyDescent="0.2">
      <c r="A34" s="502"/>
      <c r="B34" s="18" t="s">
        <v>120</v>
      </c>
      <c r="C34" s="19">
        <f>'[8]F 4 TRI _ Granulo'!K21</f>
        <v>0</v>
      </c>
      <c r="D34" s="20">
        <f>'[8]F 4 TRI _ Granulo'!H21</f>
        <v>0</v>
      </c>
      <c r="E34" s="20">
        <f>'[8]F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505"/>
      <c r="J34" s="505"/>
    </row>
    <row r="35" spans="1:10" s="1" customFormat="1" ht="15" customHeight="1" x14ac:dyDescent="0.2">
      <c r="A35" s="237" t="s">
        <v>45</v>
      </c>
      <c r="B35" s="18" t="s">
        <v>46</v>
      </c>
      <c r="C35" s="19">
        <f>'[8]F 4 TRI _ Granulo'!K22</f>
        <v>0.65326996197718634</v>
      </c>
      <c r="D35" s="20">
        <f>'[8]F 4 TRI _ Granulo'!H22</f>
        <v>0.43000000000000016</v>
      </c>
      <c r="E35" s="20">
        <f>'[8]F 4 TRI _ Granulo'!E22</f>
        <v>0</v>
      </c>
      <c r="F35" s="20">
        <f t="shared" si="1"/>
        <v>1.0832699619771864</v>
      </c>
      <c r="G35" s="21">
        <f t="shared" si="0"/>
        <v>2.3914647289171059E-2</v>
      </c>
      <c r="H35" s="21">
        <f>'[8]Calcul sous cat &gt;20'!N43/100</f>
        <v>2.2238826442260006E-2</v>
      </c>
      <c r="I35" s="238">
        <f>G35</f>
        <v>2.3914647289171059E-2</v>
      </c>
      <c r="J35" s="238">
        <f>'[8]Calcul sous cat &gt;20'!N12/100</f>
        <v>2.2238826442260006E-2</v>
      </c>
    </row>
    <row r="36" spans="1:10" s="1" customFormat="1" ht="15" customHeight="1" x14ac:dyDescent="0.2">
      <c r="A36" s="493" t="s">
        <v>47</v>
      </c>
      <c r="B36" s="18" t="s">
        <v>48</v>
      </c>
      <c r="C36" s="19">
        <f>'[8]F 4 TRI _ Granulo'!K23</f>
        <v>2.0166159695817494</v>
      </c>
      <c r="D36" s="20">
        <f>'[8]F 4 TRI _ Granulo'!H23</f>
        <v>0.77</v>
      </c>
      <c r="E36" s="20">
        <f>'[8]F 4 TRI _ Granulo'!E23</f>
        <v>0</v>
      </c>
      <c r="F36" s="20">
        <f t="shared" si="1"/>
        <v>2.7866159695817494</v>
      </c>
      <c r="G36" s="21">
        <f t="shared" si="0"/>
        <v>6.1518310653870437E-2</v>
      </c>
      <c r="H36" s="21">
        <f>'[8]Calcul sous cat &gt;20'!N44/100</f>
        <v>5.9129594946214038E-2</v>
      </c>
      <c r="I36" s="496">
        <f>G36+G37</f>
        <v>9.0237711929816333E-2</v>
      </c>
      <c r="J36" s="496">
        <f>'[8]Calcul sous cat &gt;20'!N13/100</f>
        <v>8.6332316395432193E-2</v>
      </c>
    </row>
    <row r="37" spans="1:10" s="1" customFormat="1" ht="15" customHeight="1" x14ac:dyDescent="0.2">
      <c r="A37" s="495"/>
      <c r="B37" s="18" t="s">
        <v>49</v>
      </c>
      <c r="C37" s="19">
        <f>'[8]F 4 TRI _ Granulo'!K24</f>
        <v>1.0509125475285175</v>
      </c>
      <c r="D37" s="20">
        <f>'[8]F 4 TRI _ Granulo'!H24</f>
        <v>0.25</v>
      </c>
      <c r="E37" s="20">
        <f>'[8]F 4 TRI _ Granulo'!E24</f>
        <v>0</v>
      </c>
      <c r="F37" s="20">
        <f t="shared" si="1"/>
        <v>1.3009125475285175</v>
      </c>
      <c r="G37" s="21">
        <f t="shared" si="0"/>
        <v>2.8719401275945904E-2</v>
      </c>
      <c r="H37" s="21">
        <f>'[8]Calcul sous cat &gt;20'!N45/100</f>
        <v>2.7202721449218155E-2</v>
      </c>
      <c r="I37" s="496"/>
      <c r="J37" s="496"/>
    </row>
    <row r="38" spans="1:10" s="1" customFormat="1" ht="15" customHeight="1" x14ac:dyDescent="0.2">
      <c r="A38" s="493" t="s">
        <v>50</v>
      </c>
      <c r="B38" s="18" t="s">
        <v>51</v>
      </c>
      <c r="C38" s="19">
        <f>'[8]F 4 TRI _ Granulo'!K25</f>
        <v>0.20734220532319411</v>
      </c>
      <c r="D38" s="20">
        <f>'[8]F 4 TRI _ Granulo'!H25</f>
        <v>4.9599999999999991</v>
      </c>
      <c r="E38" s="20">
        <f>'[8]F 4 TRI _ Granulo'!E25</f>
        <v>0</v>
      </c>
      <c r="F38" s="20">
        <f t="shared" si="1"/>
        <v>5.1673422053231928</v>
      </c>
      <c r="G38" s="21">
        <f t="shared" si="0"/>
        <v>0.11407605730819109</v>
      </c>
      <c r="H38" s="21">
        <f>'[8]Calcul sous cat &gt;20'!N46/100</f>
        <v>0.12221282249113256</v>
      </c>
      <c r="I38" s="496">
        <f>G38+G39+G40+G41+G42</f>
        <v>0.21072178669695912</v>
      </c>
      <c r="J38" s="496">
        <f>'[8]Calcul sous cat &gt;20'!N14/100</f>
        <v>0.22108924162522864</v>
      </c>
    </row>
    <row r="39" spans="1:10" s="1" customFormat="1" ht="15" customHeight="1" x14ac:dyDescent="0.2">
      <c r="A39" s="494"/>
      <c r="B39" s="18" t="s">
        <v>52</v>
      </c>
      <c r="C39" s="19">
        <f>'[8]F 4 TRI _ Granulo'!K26</f>
        <v>0.31243346007604594</v>
      </c>
      <c r="D39" s="20">
        <f>'[8]F 4 TRI _ Granulo'!H26</f>
        <v>0.69</v>
      </c>
      <c r="E39" s="20">
        <f>'[8]F 4 TRI _ Granulo'!E26</f>
        <v>0</v>
      </c>
      <c r="F39" s="20">
        <f t="shared" si="1"/>
        <v>1.0024334600760458</v>
      </c>
      <c r="G39" s="21">
        <f t="shared" si="0"/>
        <v>2.2130072345795223E-2</v>
      </c>
      <c r="H39" s="21">
        <f>'[8]Calcul sous cat &gt;20'!N47/100</f>
        <v>2.1189147802730072E-2</v>
      </c>
      <c r="I39" s="496"/>
      <c r="J39" s="496"/>
    </row>
    <row r="40" spans="1:10" s="1" customFormat="1" ht="15" customHeight="1" x14ac:dyDescent="0.2">
      <c r="A40" s="494"/>
      <c r="B40" s="18" t="s">
        <v>53</v>
      </c>
      <c r="C40" s="19">
        <f>'[8]F 4 TRI _ Granulo'!K27</f>
        <v>0.36923954372623613</v>
      </c>
      <c r="D40" s="20">
        <f>'[8]F 4 TRI _ Granulo'!H27</f>
        <v>0.4700000000000002</v>
      </c>
      <c r="E40" s="20">
        <f>'[8]F 4 TRI _ Granulo'!E27</f>
        <v>0</v>
      </c>
      <c r="F40" s="20">
        <f t="shared" si="1"/>
        <v>0.83923954372623633</v>
      </c>
      <c r="G40" s="21">
        <f t="shared" si="0"/>
        <v>1.8527346260673358E-2</v>
      </c>
      <c r="H40" s="21">
        <f>'[8]Calcul sous cat &gt;20'!N48/100</f>
        <v>1.7736434608227835E-2</v>
      </c>
      <c r="I40" s="496"/>
      <c r="J40" s="496"/>
    </row>
    <row r="41" spans="1:10" s="1" customFormat="1" ht="15" customHeight="1" x14ac:dyDescent="0.2">
      <c r="A41" s="494"/>
      <c r="B41" s="18" t="s">
        <v>54</v>
      </c>
      <c r="C41" s="19">
        <f>'[8]F 4 TRI _ Granulo'!K28</f>
        <v>0.53965779467680663</v>
      </c>
      <c r="D41" s="20">
        <f>'[8]F 4 TRI _ Granulo'!H28</f>
        <v>0.93000000000000016</v>
      </c>
      <c r="E41" s="20">
        <f>'[8]F 4 TRI _ Granulo'!E28</f>
        <v>0</v>
      </c>
      <c r="F41" s="20">
        <f t="shared" si="1"/>
        <v>1.4696577946768068</v>
      </c>
      <c r="G41" s="21">
        <f t="shared" si="0"/>
        <v>3.2444680485118997E-2</v>
      </c>
      <c r="H41" s="21">
        <f>'[8]Calcul sous cat &gt;20'!N49/100</f>
        <v>3.4739249106315741E-2</v>
      </c>
      <c r="I41" s="496"/>
      <c r="J41" s="496"/>
    </row>
    <row r="42" spans="1:10" s="1" customFormat="1" ht="27" customHeight="1" x14ac:dyDescent="0.2">
      <c r="A42" s="495"/>
      <c r="B42" s="18" t="s">
        <v>55</v>
      </c>
      <c r="C42" s="19">
        <f>'[8]F 4 TRI _ Granulo'!K29</f>
        <v>0.59646387832699677</v>
      </c>
      <c r="D42" s="20">
        <f>'[8]F 4 TRI _ Granulo'!H29</f>
        <v>0.33000000000000007</v>
      </c>
      <c r="E42" s="20">
        <f>'[8]F 4 TRI _ Granulo'!E29</f>
        <v>0.14000000000000001</v>
      </c>
      <c r="F42" s="20">
        <f t="shared" si="1"/>
        <v>1.0664638783269969</v>
      </c>
      <c r="G42" s="21">
        <f t="shared" si="0"/>
        <v>2.3543630297180422E-2</v>
      </c>
      <c r="H42" s="21">
        <f>'[8]Calcul sous cat &gt;20'!N50/100</f>
        <v>2.5211587616822434E-2</v>
      </c>
      <c r="I42" s="496"/>
      <c r="J42" s="496"/>
    </row>
    <row r="43" spans="1:10" s="1" customFormat="1" ht="26.25" customHeight="1" x14ac:dyDescent="0.2">
      <c r="A43" s="237" t="s">
        <v>56</v>
      </c>
      <c r="B43" s="18" t="s">
        <v>56</v>
      </c>
      <c r="C43" s="19">
        <f>'[8]F 4 TRI _ Granulo'!K30</f>
        <v>0.42604562737642632</v>
      </c>
      <c r="D43" s="20">
        <f>'[8]F 4 TRI _ Granulo'!H30</f>
        <v>0.95000000000000018</v>
      </c>
      <c r="E43" s="20">
        <f>'[8]F 4 TRI _ Granulo'!E30</f>
        <v>0</v>
      </c>
      <c r="F43" s="20">
        <f t="shared" si="1"/>
        <v>1.3760456273764266</v>
      </c>
      <c r="G43" s="21">
        <f t="shared" si="0"/>
        <v>3.0378065475433522E-2</v>
      </c>
      <c r="H43" s="21">
        <f>J43</f>
        <v>2.8848871580175076E-2</v>
      </c>
      <c r="I43" s="238">
        <f>G43</f>
        <v>3.0378065475433522E-2</v>
      </c>
      <c r="J43" s="238">
        <f>'[8]Calcul sous cat &gt;20'!N15/100</f>
        <v>2.8848871580175076E-2</v>
      </c>
    </row>
    <row r="44" spans="1:10" s="1" customFormat="1" ht="15" customHeight="1" x14ac:dyDescent="0.2">
      <c r="A44" s="493" t="s">
        <v>57</v>
      </c>
      <c r="B44" s="18" t="s">
        <v>58</v>
      </c>
      <c r="C44" s="19">
        <f>'[8]F 4 TRI _ Granulo'!K31</f>
        <v>0.53965779467680663</v>
      </c>
      <c r="D44" s="20">
        <f>'[8]F 4 TRI _ Granulo'!H31</f>
        <v>2.0100000000000002</v>
      </c>
      <c r="E44" s="20">
        <f>'[8]F 4 TRI _ Granulo'!E31</f>
        <v>0</v>
      </c>
      <c r="F44" s="20">
        <f t="shared" si="1"/>
        <v>2.5496577946768069</v>
      </c>
      <c r="G44" s="21">
        <f t="shared" si="0"/>
        <v>5.6287138947794135E-2</v>
      </c>
      <c r="H44" s="21">
        <f>G44*J44/I44</f>
        <v>5.2278321128055028E-2</v>
      </c>
      <c r="I44" s="496">
        <f>G44+G45</f>
        <v>7.0117175056477271E-2</v>
      </c>
      <c r="J44" s="496">
        <f>'[8]Calcul sous cat &gt;20'!N16/100</f>
        <v>6.5123370324336266E-2</v>
      </c>
    </row>
    <row r="45" spans="1:10" s="1" customFormat="1" ht="15" customHeight="1" x14ac:dyDescent="0.2">
      <c r="A45" s="495"/>
      <c r="B45" s="18" t="s">
        <v>59</v>
      </c>
      <c r="C45" s="19">
        <f>'[8]F 4 TRI _ Granulo'!K32</f>
        <v>0.59646387832699677</v>
      </c>
      <c r="D45" s="20">
        <f>'[8]F 4 TRI _ Granulo'!H32</f>
        <v>3.0000000000000027E-2</v>
      </c>
      <c r="E45" s="20">
        <f>'[8]F 4 TRI _ Granulo'!E32</f>
        <v>0</v>
      </c>
      <c r="F45" s="20">
        <f t="shared" si="1"/>
        <v>0.62646387832699679</v>
      </c>
      <c r="G45" s="21">
        <f t="shared" si="0"/>
        <v>1.3830036108683143E-2</v>
      </c>
      <c r="H45" s="21">
        <f>G45*J44/I44</f>
        <v>1.2845049196281245E-2</v>
      </c>
      <c r="I45" s="496"/>
      <c r="J45" s="496"/>
    </row>
    <row r="46" spans="1:10" s="1" customFormat="1" ht="15" customHeight="1" x14ac:dyDescent="0.2">
      <c r="A46" s="493" t="s">
        <v>60</v>
      </c>
      <c r="B46" s="18" t="s">
        <v>61</v>
      </c>
      <c r="C46" s="19">
        <f>'[8]F 4 TRI _ Granulo'!K33</f>
        <v>0.82368821292775685</v>
      </c>
      <c r="D46" s="20">
        <f>'[8]F 4 TRI _ Granulo'!H33</f>
        <v>0.39000000000000012</v>
      </c>
      <c r="E46" s="20">
        <f>'[8]F 4 TRI _ Granulo'!E33</f>
        <v>0</v>
      </c>
      <c r="F46" s="20">
        <f t="shared" si="1"/>
        <v>1.2136882129277571</v>
      </c>
      <c r="G46" s="21">
        <f t="shared" si="0"/>
        <v>2.6793806299415249E-2</v>
      </c>
      <c r="H46" s="21">
        <f t="shared" ref="H46:H51" si="2">G46*$J$46/$I$46</f>
        <v>2.5696333251600312E-2</v>
      </c>
      <c r="I46" s="496">
        <f>G46+G47+G50+G51+G48+G49</f>
        <v>3.0953057872523101E-2</v>
      </c>
      <c r="J46" s="496">
        <f>'[8]Calcul sous cat &gt;20'!N17/100</f>
        <v>2.9685222075587769E-2</v>
      </c>
    </row>
    <row r="47" spans="1:10" s="1" customFormat="1" ht="15" customHeight="1" x14ac:dyDescent="0.2">
      <c r="A47" s="494"/>
      <c r="B47" s="18" t="s">
        <v>62</v>
      </c>
      <c r="C47" s="19">
        <f>'[8]F 4 TRI _ Granulo'!K34</f>
        <v>0</v>
      </c>
      <c r="D47" s="20">
        <f>'[8]F 4 TRI _ Granulo'!H34</f>
        <v>0.15000000000000013</v>
      </c>
      <c r="E47" s="20">
        <f>'[8]F 4 TRI _ Granulo'!E34</f>
        <v>0</v>
      </c>
      <c r="F47" s="20">
        <f t="shared" si="1"/>
        <v>0.15000000000000013</v>
      </c>
      <c r="G47" s="21">
        <f t="shared" si="0"/>
        <v>3.311452564260439E-3</v>
      </c>
      <c r="H47" s="21">
        <f t="shared" si="2"/>
        <v>3.1758156227306793E-3</v>
      </c>
      <c r="I47" s="496"/>
      <c r="J47" s="496"/>
    </row>
    <row r="48" spans="1:10" s="1" customFormat="1" ht="15" customHeight="1" x14ac:dyDescent="0.2">
      <c r="A48" s="494"/>
      <c r="B48" s="18" t="s">
        <v>63</v>
      </c>
      <c r="C48" s="19">
        <f>'[8]F 4 TRI _ Granulo'!K35</f>
        <v>0</v>
      </c>
      <c r="D48" s="20">
        <f>'[8]F 4 TRI _ Granulo'!H35</f>
        <v>0</v>
      </c>
      <c r="E48" s="20">
        <f>'[8]F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96"/>
      <c r="J48" s="496"/>
    </row>
    <row r="49" spans="1:10" s="1" customFormat="1" ht="15" customHeight="1" x14ac:dyDescent="0.2">
      <c r="A49" s="494"/>
      <c r="B49" s="18" t="s">
        <v>64</v>
      </c>
      <c r="C49" s="19">
        <f>'[8]F 4 TRI _ Granulo'!K36</f>
        <v>0</v>
      </c>
      <c r="D49" s="20">
        <f>'[8]F 4 TRI _ Granulo'!H36</f>
        <v>0</v>
      </c>
      <c r="E49" s="20">
        <f>'[8]F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96"/>
      <c r="J49" s="496"/>
    </row>
    <row r="50" spans="1:10" s="1" customFormat="1" ht="15" customHeight="1" x14ac:dyDescent="0.2">
      <c r="A50" s="494"/>
      <c r="B50" s="18" t="s">
        <v>65</v>
      </c>
      <c r="C50" s="19">
        <f>'[8]F 4 TRI _ Granulo'!K37</f>
        <v>0</v>
      </c>
      <c r="D50" s="20">
        <f>'[8]F 4 TRI _ Granulo'!H37</f>
        <v>0</v>
      </c>
      <c r="E50" s="20">
        <f>'[8]F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96"/>
      <c r="J50" s="496"/>
    </row>
    <row r="51" spans="1:10" s="1" customFormat="1" ht="15" customHeight="1" x14ac:dyDescent="0.2">
      <c r="A51" s="495"/>
      <c r="B51" s="18" t="s">
        <v>66</v>
      </c>
      <c r="C51" s="19">
        <f>'[8]F 4 TRI _ Granulo'!K38</f>
        <v>2.8403041825095086E-2</v>
      </c>
      <c r="D51" s="20">
        <f>'[8]F 4 TRI _ Granulo'!H38</f>
        <v>1.0000000000000009E-2</v>
      </c>
      <c r="E51" s="20">
        <f>'[8]F 4 TRI _ Granulo'!E38</f>
        <v>0</v>
      </c>
      <c r="F51" s="20">
        <f t="shared" si="1"/>
        <v>3.8403041825095095E-2</v>
      </c>
      <c r="G51" s="21">
        <f t="shared" si="0"/>
        <v>8.4779900884741281E-4</v>
      </c>
      <c r="H51" s="21">
        <f t="shared" si="2"/>
        <v>8.1307320125677729E-4</v>
      </c>
      <c r="I51" s="496"/>
      <c r="J51" s="496"/>
    </row>
    <row r="52" spans="1:10" s="1" customFormat="1" ht="15" customHeight="1" x14ac:dyDescent="0.2">
      <c r="A52" s="240" t="s">
        <v>67</v>
      </c>
      <c r="B52" s="18" t="s">
        <v>68</v>
      </c>
      <c r="C52" s="19">
        <f>'[8]F 4 TRI _ Granulo'!K39</f>
        <v>0</v>
      </c>
      <c r="D52" s="20">
        <f>'[8]F 4 TRI _ Granulo'!H39</f>
        <v>0</v>
      </c>
      <c r="E52" s="20">
        <f>'[8]F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41">
        <f>G52</f>
        <v>0</v>
      </c>
      <c r="J52" s="241">
        <f>'[8]Calcul sous cat &gt;20'!N18/100</f>
        <v>0</v>
      </c>
    </row>
    <row r="53" spans="1:10" s="1" customFormat="1" ht="15" customHeight="1" x14ac:dyDescent="0.2">
      <c r="A53" s="493" t="s">
        <v>69</v>
      </c>
      <c r="B53" s="18" t="s">
        <v>121</v>
      </c>
      <c r="C53" s="19">
        <f>'[8]F 4 TRI _ Granulo'!K40</f>
        <v>0</v>
      </c>
      <c r="D53" s="20">
        <f>'[8]F 4 TRI _ Granulo'!H40</f>
        <v>0</v>
      </c>
      <c r="E53" s="20">
        <f>'[8]F 4 TRI _ Granulo'!E40</f>
        <v>0</v>
      </c>
      <c r="F53" s="20">
        <f t="shared" si="1"/>
        <v>0</v>
      </c>
      <c r="G53" s="21">
        <f t="shared" si="0"/>
        <v>0</v>
      </c>
      <c r="H53" s="247">
        <v>0</v>
      </c>
      <c r="I53" s="496">
        <f>SUM(G53:G62)</f>
        <v>0</v>
      </c>
      <c r="J53" s="496">
        <f>'[8]Calcul sous cat &gt;20'!N19/100</f>
        <v>0</v>
      </c>
    </row>
    <row r="54" spans="1:10" s="1" customFormat="1" ht="15" customHeight="1" x14ac:dyDescent="0.2">
      <c r="A54" s="494"/>
      <c r="B54" s="18" t="s">
        <v>70</v>
      </c>
      <c r="C54" s="19">
        <f>'[8]F 4 TRI _ Granulo'!K41</f>
        <v>0</v>
      </c>
      <c r="D54" s="20">
        <f>'[8]F 4 TRI _ Granulo'!H41</f>
        <v>0</v>
      </c>
      <c r="E54" s="20">
        <f>'[8]F 4 TRI _ Granulo'!E41</f>
        <v>0</v>
      </c>
      <c r="F54" s="20">
        <f t="shared" si="1"/>
        <v>0</v>
      </c>
      <c r="G54" s="21">
        <f t="shared" si="0"/>
        <v>0</v>
      </c>
      <c r="H54" s="247">
        <v>0</v>
      </c>
      <c r="I54" s="496"/>
      <c r="J54" s="496"/>
    </row>
    <row r="55" spans="1:10" s="1" customFormat="1" ht="15" customHeight="1" x14ac:dyDescent="0.2">
      <c r="A55" s="494"/>
      <c r="B55" s="18" t="s">
        <v>71</v>
      </c>
      <c r="C55" s="19">
        <f>'[8]F 4 TRI _ Granulo'!K42</f>
        <v>0</v>
      </c>
      <c r="D55" s="20">
        <f>'[8]F 4 TRI _ Granulo'!H42</f>
        <v>0</v>
      </c>
      <c r="E55" s="20">
        <f>'[8]F 4 TRI _ Granulo'!E42</f>
        <v>0</v>
      </c>
      <c r="F55" s="20">
        <f>SUM(C55:E55)</f>
        <v>0</v>
      </c>
      <c r="G55" s="21">
        <f t="shared" si="0"/>
        <v>0</v>
      </c>
      <c r="H55" s="247">
        <v>0</v>
      </c>
      <c r="I55" s="496"/>
      <c r="J55" s="496"/>
    </row>
    <row r="56" spans="1:10" s="1" customFormat="1" ht="15" customHeight="1" x14ac:dyDescent="0.2">
      <c r="A56" s="494"/>
      <c r="B56" s="18" t="s">
        <v>72</v>
      </c>
      <c r="C56" s="19">
        <f>'[8]F 4 TRI _ Granulo'!K43</f>
        <v>0</v>
      </c>
      <c r="D56" s="20">
        <f>'[8]F 4 TRI _ Granulo'!H43</f>
        <v>0</v>
      </c>
      <c r="E56" s="20">
        <f>'[8]F 4 TRI _ Granulo'!E43</f>
        <v>0</v>
      </c>
      <c r="F56" s="20">
        <f t="shared" si="1"/>
        <v>0</v>
      </c>
      <c r="G56" s="21">
        <f>F56/$F$64</f>
        <v>0</v>
      </c>
      <c r="H56" s="247">
        <v>0</v>
      </c>
      <c r="I56" s="496"/>
      <c r="J56" s="496"/>
    </row>
    <row r="57" spans="1:10" s="1" customFormat="1" ht="17.25" customHeight="1" x14ac:dyDescent="0.2">
      <c r="A57" s="494"/>
      <c r="B57" s="18" t="s">
        <v>122</v>
      </c>
      <c r="C57" s="19">
        <f>'[8]F 4 TRI _ Granulo'!K44</f>
        <v>0</v>
      </c>
      <c r="D57" s="20">
        <f>'[8]F 4 TRI _ Granulo'!H44</f>
        <v>0</v>
      </c>
      <c r="E57" s="20">
        <f>'[8]F 4 TRI _ Granulo'!E44</f>
        <v>0</v>
      </c>
      <c r="F57" s="20">
        <f t="shared" si="1"/>
        <v>0</v>
      </c>
      <c r="G57" s="21">
        <f t="shared" ref="G57:G62" si="3">F57/$F$64</f>
        <v>0</v>
      </c>
      <c r="H57" s="247">
        <v>0</v>
      </c>
      <c r="I57" s="496"/>
      <c r="J57" s="496"/>
    </row>
    <row r="58" spans="1:10" s="1" customFormat="1" ht="17.25" customHeight="1" x14ac:dyDescent="0.2">
      <c r="A58" s="494"/>
      <c r="B58" s="18" t="s">
        <v>123</v>
      </c>
      <c r="C58" s="19">
        <f>'[8]F 4 TRI _ Granulo'!K45</f>
        <v>0</v>
      </c>
      <c r="D58" s="20">
        <f>'[8]F 4 TRI _ Granulo'!H45</f>
        <v>0</v>
      </c>
      <c r="E58" s="20">
        <f>'[8]F 4 TRI _ Granulo'!E45</f>
        <v>0</v>
      </c>
      <c r="F58" s="20">
        <f t="shared" si="1"/>
        <v>0</v>
      </c>
      <c r="G58" s="21">
        <f t="shared" si="3"/>
        <v>0</v>
      </c>
      <c r="H58" s="247">
        <v>0</v>
      </c>
      <c r="I58" s="496"/>
      <c r="J58" s="496"/>
    </row>
    <row r="59" spans="1:10" s="1" customFormat="1" ht="25.5" customHeight="1" x14ac:dyDescent="0.2">
      <c r="A59" s="494"/>
      <c r="B59" s="18" t="s">
        <v>124</v>
      </c>
      <c r="C59" s="19">
        <f>'[8]F 4 TRI _ Granulo'!K46</f>
        <v>0</v>
      </c>
      <c r="D59" s="20">
        <f>'[8]F 4 TRI _ Granulo'!H46</f>
        <v>0</v>
      </c>
      <c r="E59" s="20">
        <f>'[8]F 4 TRI _ Granulo'!E46</f>
        <v>0</v>
      </c>
      <c r="F59" s="20">
        <f t="shared" si="1"/>
        <v>0</v>
      </c>
      <c r="G59" s="21">
        <f t="shared" si="3"/>
        <v>0</v>
      </c>
      <c r="H59" s="247">
        <v>0</v>
      </c>
      <c r="I59" s="496"/>
      <c r="J59" s="496"/>
    </row>
    <row r="60" spans="1:10" ht="25.5" x14ac:dyDescent="0.25">
      <c r="A60" s="494"/>
      <c r="B60" s="18" t="s">
        <v>125</v>
      </c>
      <c r="C60" s="19">
        <f>'[8]F 4 TRI _ Granulo'!K47</f>
        <v>0</v>
      </c>
      <c r="D60" s="20">
        <f>'[8]F 4 TRI _ Granulo'!H47</f>
        <v>0</v>
      </c>
      <c r="E60" s="20">
        <f>'[8]F 4 TRI _ Granulo'!E47</f>
        <v>0</v>
      </c>
      <c r="F60" s="20">
        <f t="shared" si="1"/>
        <v>0</v>
      </c>
      <c r="G60" s="21">
        <f t="shared" si="3"/>
        <v>0</v>
      </c>
      <c r="H60" s="247">
        <v>0</v>
      </c>
      <c r="I60" s="496"/>
      <c r="J60" s="496"/>
    </row>
    <row r="61" spans="1:10" ht="38.25" x14ac:dyDescent="0.25">
      <c r="A61" s="494"/>
      <c r="B61" s="18" t="s">
        <v>126</v>
      </c>
      <c r="C61" s="19">
        <f>'[8]F 4 TRI _ Granulo'!K48</f>
        <v>0</v>
      </c>
      <c r="D61" s="20">
        <f>'[8]F 4 TRI _ Granulo'!H48</f>
        <v>0</v>
      </c>
      <c r="E61" s="20">
        <f>'[8]F 4 TRI _ Granulo'!E48</f>
        <v>0</v>
      </c>
      <c r="F61" s="20">
        <f t="shared" si="1"/>
        <v>0</v>
      </c>
      <c r="G61" s="21">
        <f t="shared" si="3"/>
        <v>0</v>
      </c>
      <c r="H61" s="247">
        <v>0</v>
      </c>
      <c r="I61" s="496"/>
      <c r="J61" s="496"/>
    </row>
    <row r="62" spans="1:10" ht="51" x14ac:dyDescent="0.25">
      <c r="A62" s="506"/>
      <c r="B62" s="18" t="s">
        <v>73</v>
      </c>
      <c r="C62" s="19">
        <f>'[8]F 4 TRI _ Granulo'!K49</f>
        <v>0</v>
      </c>
      <c r="D62" s="20">
        <f>'[8]F 4 TRI _ Granulo'!H49</f>
        <v>0</v>
      </c>
      <c r="E62" s="20">
        <f>'[8]F 4 TRI _ Granulo'!E49</f>
        <v>0</v>
      </c>
      <c r="F62" s="20">
        <f t="shared" si="1"/>
        <v>0</v>
      </c>
      <c r="G62" s="21">
        <f t="shared" si="3"/>
        <v>0</v>
      </c>
      <c r="H62" s="247">
        <v>0</v>
      </c>
      <c r="I62" s="496"/>
      <c r="J62" s="496"/>
    </row>
    <row r="63" spans="1:10" x14ac:dyDescent="0.25">
      <c r="A63" s="22" t="s">
        <v>74</v>
      </c>
      <c r="B63" s="23">
        <f>'[8]F 3 _ Criblage et Tri'!C27+'[8]F 3 _ Criblage et Tri'!D27</f>
        <v>9.1000000000000014</v>
      </c>
      <c r="C63" s="19">
        <f>'[8]F 4 TRI _ Granulo'!K50</f>
        <v>0.34083650190114101</v>
      </c>
      <c r="D63" s="20">
        <f>'[8]F 4 TRI _ Granulo'!H50</f>
        <v>0.29999999999999982</v>
      </c>
      <c r="E63" s="20">
        <f>'[8]F 4 TRI _ Granulo'!E50</f>
        <v>0</v>
      </c>
      <c r="F63" s="19">
        <f>SUM(B63:E63)</f>
        <v>9.7408365019011427</v>
      </c>
      <c r="G63" s="21">
        <f t="shared" si="0"/>
        <v>0.21504212008174797</v>
      </c>
      <c r="H63" s="21">
        <f>J63</f>
        <v>0.10545420333343508</v>
      </c>
      <c r="I63" s="24">
        <f>G63</f>
        <v>0.21504212008174797</v>
      </c>
      <c r="J63" s="24">
        <f>'[8]Calcul sous cat &gt;20'!N20/100</f>
        <v>0.10545420333343508</v>
      </c>
    </row>
    <row r="64" spans="1:10" x14ac:dyDescent="0.25">
      <c r="A64" s="25" t="s">
        <v>25</v>
      </c>
      <c r="B64" s="90">
        <f>B63</f>
        <v>9.1000000000000014</v>
      </c>
      <c r="C64" s="19">
        <f>SUM(C18:C63)</f>
        <v>15.1473422053232</v>
      </c>
      <c r="D64" s="19">
        <f>SUM(D18:D63)</f>
        <v>20.470000000000006</v>
      </c>
      <c r="E64" s="19">
        <f>SUM(E18:E63)</f>
        <v>0.58000000000000007</v>
      </c>
      <c r="F64" s="19">
        <f>SUM(B64:E64)</f>
        <v>45.297342205323204</v>
      </c>
      <c r="G64" s="21">
        <f t="shared" si="0"/>
        <v>1</v>
      </c>
      <c r="H64" s="21">
        <f>SUM(H18:H63)</f>
        <v>0.99999999999999978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44">
        <f>B64/$F$64</f>
        <v>0.20089478889846649</v>
      </c>
      <c r="C65" s="244">
        <f>C64/$F$64</f>
        <v>0.33439803458365225</v>
      </c>
      <c r="D65" s="244">
        <f>D64/$F$64</f>
        <v>0.45190289326940764</v>
      </c>
      <c r="E65" s="244">
        <f>E64/$F$64</f>
        <v>1.2804283248473687E-2</v>
      </c>
      <c r="F65" s="244">
        <f>F64/$F$64</f>
        <v>1</v>
      </c>
      <c r="G65" s="1"/>
      <c r="H65" s="1"/>
      <c r="I65" s="1"/>
      <c r="J65" s="1"/>
    </row>
  </sheetData>
  <mergeCells count="39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29"/>
  <sheetViews>
    <sheetView workbookViewId="0">
      <pane xSplit="2" ySplit="5" topLeftCell="S30" activePane="bottomRight" state="frozen"/>
      <selection activeCell="H4" sqref="H4"/>
      <selection pane="topRight" activeCell="H4" sqref="H4"/>
      <selection pane="bottomLeft" activeCell="H4" sqref="H4"/>
      <selection pane="bottomRight" activeCell="X52" sqref="A1:X52"/>
    </sheetView>
  </sheetViews>
  <sheetFormatPr baseColWidth="10" defaultRowHeight="15" x14ac:dyDescent="0.25"/>
  <cols>
    <col min="1" max="1" width="16.28515625" customWidth="1"/>
    <col min="2" max="2" width="36.5703125" customWidth="1"/>
    <col min="3" max="3" width="11.140625" hidden="1" customWidth="1"/>
    <col min="4" max="5" width="9.7109375" hidden="1" customWidth="1"/>
    <col min="6" max="13" width="8.28515625" hidden="1" customWidth="1"/>
    <col min="14" max="14" width="8" hidden="1" customWidth="1"/>
    <col min="15" max="18" width="11.42578125" hidden="1" customWidth="1"/>
  </cols>
  <sheetData>
    <row r="1" spans="1:26" x14ac:dyDescent="0.25">
      <c r="A1" s="548"/>
      <c r="B1" s="202"/>
      <c r="C1" s="548" t="str">
        <f>'ISS H15 PB BAN'!B2</f>
        <v>ISS H15 PB BAN</v>
      </c>
      <c r="D1" s="548"/>
      <c r="E1" s="513" t="str">
        <f>'ISS H15 PB PAR'!B2</f>
        <v>ISS H15 PB PAR</v>
      </c>
      <c r="F1" s="513"/>
      <c r="G1" s="513" t="str">
        <f>'IVR H15 PB BAN'!B2</f>
        <v>IVR H15 PB BAN</v>
      </c>
      <c r="H1" s="513"/>
      <c r="I1" s="513" t="str">
        <f>'IVR H15 PB PAR'!B2</f>
        <v>IVR H15 PB PAR</v>
      </c>
      <c r="J1" s="513"/>
      <c r="K1" s="513" t="str">
        <f>'ROM H15 PB BAN'!B2</f>
        <v>ROM-H15-PB-BAN</v>
      </c>
      <c r="L1" s="513"/>
      <c r="M1" s="513" t="str">
        <f>'ROM H15 PB PAR'!B2</f>
        <v>ROM-H15-PB-PAR</v>
      </c>
      <c r="N1" s="513"/>
      <c r="O1" s="513" t="str">
        <f>'STO H15 PB BAN'!B2</f>
        <v>STO H15 PB BAN</v>
      </c>
      <c r="P1" s="513"/>
      <c r="Q1" s="513" t="str">
        <f>'STO H15 PB PAR '!B2</f>
        <v>STO H15 PB PAR</v>
      </c>
      <c r="R1" s="513"/>
      <c r="S1" s="514" t="s">
        <v>76</v>
      </c>
      <c r="T1" s="514"/>
      <c r="U1" s="547" t="s">
        <v>77</v>
      </c>
      <c r="V1" s="547"/>
      <c r="W1" s="547" t="s">
        <v>78</v>
      </c>
      <c r="X1" s="547"/>
    </row>
    <row r="2" spans="1:26" x14ac:dyDescent="0.25">
      <c r="A2" s="548"/>
      <c r="B2" s="203" t="str">
        <f>'[9]F 1 _ Echant et Séchage'!D5</f>
        <v>ISS A14 PB BAN</v>
      </c>
      <c r="C2" s="549">
        <f>'ISS H15 PB BAN'!G11</f>
        <v>0.23199999999999996</v>
      </c>
      <c r="D2" s="549"/>
      <c r="E2" s="549">
        <f>'ISS H15 PB PAR'!G11</f>
        <v>0.21355932203389832</v>
      </c>
      <c r="F2" s="549"/>
      <c r="G2" s="549">
        <f>'IVR H15 PB BAN'!G11</f>
        <v>0.29790697674418604</v>
      </c>
      <c r="H2" s="549"/>
      <c r="I2" s="549">
        <f>'IVR H15 PB PAR'!G11</f>
        <v>0.20360655737704919</v>
      </c>
      <c r="J2" s="549"/>
      <c r="K2" s="549">
        <f>'ROM H15 PB BAN'!G11</f>
        <v>0.255</v>
      </c>
      <c r="L2" s="549"/>
      <c r="M2" s="549">
        <f>'ROM H15 PB PAR'!G11</f>
        <v>0.25259999999999999</v>
      </c>
      <c r="N2" s="549"/>
      <c r="O2" s="549">
        <f>'STO H15 PB BAN'!G11</f>
        <v>0.28133333333333332</v>
      </c>
      <c r="P2" s="549"/>
      <c r="Q2" s="549">
        <f>'STO H15 PB PAR '!G11</f>
        <v>0.19984615384615381</v>
      </c>
      <c r="R2" s="549"/>
      <c r="S2" s="555">
        <f>AVERAGE(C2:R2)</f>
        <v>0.24198154291682752</v>
      </c>
      <c r="T2" s="555"/>
      <c r="U2" s="555">
        <f>AVERAGE(E2,I2,M2,Q2)</f>
        <v>0.21740300831427534</v>
      </c>
      <c r="V2" s="555"/>
      <c r="W2" s="555">
        <f>AVERAGE(C2,G2,K2,O2)</f>
        <v>0.26656007751937982</v>
      </c>
      <c r="X2" s="555"/>
    </row>
    <row r="3" spans="1:26" x14ac:dyDescent="0.25">
      <c r="A3" s="548"/>
      <c r="B3" s="203" t="s">
        <v>79</v>
      </c>
      <c r="C3" s="550">
        <f>'ISS H15 PB BAN'!G12</f>
        <v>0.35940438871473346</v>
      </c>
      <c r="D3" s="550"/>
      <c r="E3" s="519">
        <f>'ISS H15 PB PAR'!G12</f>
        <v>0.38634126984126987</v>
      </c>
      <c r="F3" s="519"/>
      <c r="G3" s="519">
        <f>'IVR H15 PB BAN'!G12</f>
        <v>0.34925839188134267</v>
      </c>
      <c r="H3" s="519"/>
      <c r="I3" s="519">
        <f>'IVR H15 PB PAR'!G12</f>
        <v>0.34879227053140099</v>
      </c>
      <c r="J3" s="519"/>
      <c r="K3" s="519">
        <f>'ROM H15 PB BAN'!G12</f>
        <v>0.36847058823529411</v>
      </c>
      <c r="L3" s="519"/>
      <c r="M3" s="519">
        <f>'ROM H15 PB PAR'!G12</f>
        <v>0.4324623911322249</v>
      </c>
      <c r="N3" s="519"/>
      <c r="O3" s="519">
        <f>'STO H15 PB BAN'!G12</f>
        <v>0.40425750394944709</v>
      </c>
      <c r="P3" s="519"/>
      <c r="Q3" s="519">
        <f>'STO H15 PB PAR '!G12</f>
        <v>0.43391839876828325</v>
      </c>
      <c r="R3" s="519"/>
      <c r="S3" s="554">
        <f>AVERAGE(C3:R3)</f>
        <v>0.38536315038174951</v>
      </c>
      <c r="T3" s="554"/>
      <c r="U3" s="556">
        <f>AVERAGE(E3,I3,M3,Q3)</f>
        <v>0.40037858256829478</v>
      </c>
      <c r="V3" s="556"/>
      <c r="W3" s="556">
        <f>AVERAGE(C3,G3,K3,O3)</f>
        <v>0.37034771819520435</v>
      </c>
      <c r="X3" s="556"/>
    </row>
    <row r="4" spans="1:26" ht="15" customHeight="1" x14ac:dyDescent="0.25">
      <c r="A4" s="515"/>
      <c r="B4" s="516"/>
      <c r="C4" s="517" t="s">
        <v>16</v>
      </c>
      <c r="D4" s="518" t="s">
        <v>17</v>
      </c>
      <c r="E4" s="517" t="s">
        <v>16</v>
      </c>
      <c r="F4" s="518" t="s">
        <v>17</v>
      </c>
      <c r="G4" s="517" t="s">
        <v>16</v>
      </c>
      <c r="H4" s="518" t="s">
        <v>17</v>
      </c>
      <c r="I4" s="517" t="s">
        <v>16</v>
      </c>
      <c r="J4" s="518" t="s">
        <v>17</v>
      </c>
      <c r="K4" s="517" t="s">
        <v>16</v>
      </c>
      <c r="L4" s="518" t="s">
        <v>17</v>
      </c>
      <c r="M4" s="517" t="s">
        <v>16</v>
      </c>
      <c r="N4" s="518" t="s">
        <v>17</v>
      </c>
      <c r="O4" s="517" t="s">
        <v>16</v>
      </c>
      <c r="P4" s="518" t="s">
        <v>17</v>
      </c>
      <c r="Q4" s="517" t="s">
        <v>16</v>
      </c>
      <c r="R4" s="518" t="s">
        <v>17</v>
      </c>
      <c r="S4" s="553" t="s">
        <v>107</v>
      </c>
      <c r="T4" s="553" t="s">
        <v>108</v>
      </c>
      <c r="U4" s="553" t="s">
        <v>107</v>
      </c>
      <c r="V4" s="553" t="s">
        <v>108</v>
      </c>
      <c r="W4" s="553" t="s">
        <v>107</v>
      </c>
      <c r="X4" s="553" t="s">
        <v>108</v>
      </c>
    </row>
    <row r="5" spans="1:26" x14ac:dyDescent="0.25">
      <c r="A5" s="197" t="s">
        <v>20</v>
      </c>
      <c r="B5" s="207" t="s">
        <v>21</v>
      </c>
      <c r="C5" s="517"/>
      <c r="D5" s="518"/>
      <c r="E5" s="517"/>
      <c r="F5" s="518"/>
      <c r="G5" s="517"/>
      <c r="H5" s="518"/>
      <c r="I5" s="517"/>
      <c r="J5" s="518"/>
      <c r="K5" s="517"/>
      <c r="L5" s="518"/>
      <c r="M5" s="517"/>
      <c r="N5" s="518"/>
      <c r="O5" s="517"/>
      <c r="P5" s="518"/>
      <c r="Q5" s="517"/>
      <c r="R5" s="518"/>
      <c r="S5" s="553"/>
      <c r="T5" s="553"/>
      <c r="U5" s="553"/>
      <c r="V5" s="553"/>
      <c r="W5" s="553"/>
      <c r="X5" s="553"/>
    </row>
    <row r="6" spans="1:26" x14ac:dyDescent="0.25">
      <c r="A6" s="552" t="s">
        <v>26</v>
      </c>
      <c r="B6" s="182" t="s">
        <v>119</v>
      </c>
      <c r="C6" s="174">
        <f>'ISS H15 PB BAN'!G18</f>
        <v>5.9213931033876128E-2</v>
      </c>
      <c r="D6" s="111">
        <f>'ISS H15 PB BAN'!H18</f>
        <v>0.12598003177743325</v>
      </c>
      <c r="E6" s="111">
        <f>'ISS H15 PB PAR'!G18</f>
        <v>7.7262423821670007E-2</v>
      </c>
      <c r="F6" s="111">
        <f>'ISS H15 PB PAR'!H18</f>
        <v>0.17128344602610562</v>
      </c>
      <c r="G6" s="111">
        <f>'IVR H15 PB BAN'!G18</f>
        <v>3.1022339899474775E-2</v>
      </c>
      <c r="H6" s="111">
        <f>'IVR H15 PB BAN'!H18</f>
        <v>7.1115219591403947E-2</v>
      </c>
      <c r="I6" s="111">
        <f>'IVR H15 PB PAR'!G18</f>
        <v>7.1344991013485612E-2</v>
      </c>
      <c r="J6" s="111">
        <f>'IVR H15 PB PAR'!H18</f>
        <v>0.14941158563773679</v>
      </c>
      <c r="K6" s="111">
        <f>'ROM H15 PB BAN'!G18</f>
        <v>1.4791608801522709E-2</v>
      </c>
      <c r="L6" s="111">
        <f>'ROM H15 PB BAN'!H18</f>
        <v>3.4948680038619576E-2</v>
      </c>
      <c r="M6" s="111">
        <f>'ROM H15 PB PAR'!G18</f>
        <v>6.7695225274598606E-2</v>
      </c>
      <c r="N6" s="111">
        <f>'ROM H15 PB PAR'!H18</f>
        <v>0.15021552417528025</v>
      </c>
      <c r="O6" s="111">
        <f>'STO H15 PB BAN'!G18</f>
        <v>0.10415445447472475</v>
      </c>
      <c r="P6" s="111">
        <f>'STO H15 PB BAN'!H18</f>
        <v>0.23092311935095158</v>
      </c>
      <c r="Q6" s="111">
        <f>'STO H15 PB PAR '!G18</f>
        <v>3.8169422307237175E-2</v>
      </c>
      <c r="R6" s="111">
        <f>'STO H15 PB PAR '!H18</f>
        <v>8.67885471697563E-2</v>
      </c>
      <c r="S6" s="62">
        <f>AVERAGE(C6,E6,G6,I6,K6,M6,O6,Q6)</f>
        <v>5.7956799578323719E-2</v>
      </c>
      <c r="T6" s="62">
        <f>AVERAGE(D6,F6,H6,J6,L6,N6,P6,R6)</f>
        <v>0.12758326922091093</v>
      </c>
      <c r="U6" s="62">
        <f>AVERAGE(E6,I6,M6,Q6)</f>
        <v>6.3618015604247846E-2</v>
      </c>
      <c r="V6" s="62">
        <f>AVERAGE(F6,J6,N6,R6)</f>
        <v>0.13942477575221973</v>
      </c>
      <c r="W6" s="62">
        <f>AVERAGE(C6,G6,K6,O6)</f>
        <v>5.2295583552399591E-2</v>
      </c>
      <c r="X6" s="62">
        <f>AVERAGE(D6,H6,L6,P6)</f>
        <v>0.1157417626896021</v>
      </c>
      <c r="Y6" s="234">
        <f>+(W6+U6)/2-S6</f>
        <v>0</v>
      </c>
      <c r="Z6" s="234">
        <f>+(X6+V6)/2-T6</f>
        <v>0</v>
      </c>
    </row>
    <row r="7" spans="1:26" x14ac:dyDescent="0.25">
      <c r="A7" s="552"/>
      <c r="B7" s="182" t="s">
        <v>27</v>
      </c>
      <c r="C7" s="174">
        <f>'ISS H15 PB BAN'!G19</f>
        <v>4.3404535145518536E-2</v>
      </c>
      <c r="D7" s="111">
        <f>'ISS H15 PB BAN'!H19</f>
        <v>9.2344902988941158E-2</v>
      </c>
      <c r="E7" s="111">
        <f>'ISS H15 PB PAR'!G19</f>
        <v>3.6781066860234633E-3</v>
      </c>
      <c r="F7" s="111">
        <f>'ISS H15 PB PAR'!H19</f>
        <v>8.1540127382990629E-3</v>
      </c>
      <c r="G7" s="111">
        <f>'IVR H15 PB BAN'!G19</f>
        <v>4.6412282498917511E-2</v>
      </c>
      <c r="H7" s="111">
        <f>'IVR H15 PB BAN'!H19</f>
        <v>0.1063949293426662</v>
      </c>
      <c r="I7" s="111">
        <f>'IVR H15 PB PAR'!G19</f>
        <v>4.7005644641607516E-2</v>
      </c>
      <c r="J7" s="111">
        <f>'IVR H15 PB PAR'!H19</f>
        <v>9.8439817568959323E-2</v>
      </c>
      <c r="K7" s="111">
        <f>'ROM H15 PB BAN'!G19</f>
        <v>3.5425396138385593E-2</v>
      </c>
      <c r="L7" s="111">
        <f>'ROM H15 PB BAN'!H19</f>
        <v>8.3700890923665811E-2</v>
      </c>
      <c r="M7" s="111">
        <f>'ROM H15 PB PAR'!G19</f>
        <v>1.3059284562708514E-2</v>
      </c>
      <c r="N7" s="111">
        <f>'ROM H15 PB PAR'!H19</f>
        <v>2.8978517583536274E-2</v>
      </c>
      <c r="O7" s="111">
        <f>'STO H15 PB BAN'!G19</f>
        <v>1.580035597429312E-2</v>
      </c>
      <c r="P7" s="111">
        <f>'STO H15 PB BAN'!H19</f>
        <v>3.5031314856770107E-2</v>
      </c>
      <c r="Q7" s="111">
        <f>'STO H15 PB PAR '!G19</f>
        <v>5.6821000501880221E-2</v>
      </c>
      <c r="R7" s="111">
        <f>'STO H15 PB PAR '!H19</f>
        <v>0.12919797534779953</v>
      </c>
      <c r="S7" s="62">
        <f t="shared" ref="S7:S51" si="0">AVERAGE(C7,E7,G7,I7,K7,M7,O7,Q7)</f>
        <v>3.2700825768666807E-2</v>
      </c>
      <c r="T7" s="62">
        <f t="shared" ref="T7:T51" si="1">AVERAGE(D7,F7,H7,J7,L7,N7,P7,R7)</f>
        <v>7.2780295168829681E-2</v>
      </c>
      <c r="U7" s="62">
        <f t="shared" ref="U7:U51" si="2">AVERAGE(E7,I7,M7,Q7)</f>
        <v>3.0141009098054929E-2</v>
      </c>
      <c r="V7" s="62">
        <f>AVERAGE(F7,J7,N7,R7)</f>
        <v>6.6192580809648544E-2</v>
      </c>
      <c r="W7" s="62">
        <f t="shared" ref="W7:W51" si="3">AVERAGE(C7,G7,K7,O7)</f>
        <v>3.5260642439278692E-2</v>
      </c>
      <c r="X7" s="62">
        <f t="shared" ref="X7:X51" si="4">AVERAGE(D7,H7,L7,P7)</f>
        <v>7.9368009528010819E-2</v>
      </c>
      <c r="Y7" s="234">
        <f t="shared" ref="Y7:Y51" si="5">+(W7+U7)/2-S7</f>
        <v>0</v>
      </c>
      <c r="Z7" s="234">
        <f t="shared" ref="Z7:Z51" si="6">+(X7+V7)/2-T7</f>
        <v>0</v>
      </c>
    </row>
    <row r="8" spans="1:26" x14ac:dyDescent="0.25">
      <c r="A8" s="552"/>
      <c r="B8" s="182" t="s">
        <v>28</v>
      </c>
      <c r="C8" s="174">
        <f>'ISS H15 PB BAN'!G20</f>
        <v>0</v>
      </c>
      <c r="D8" s="111">
        <f>'ISS H15 PB BAN'!H20</f>
        <v>0</v>
      </c>
      <c r="E8" s="111">
        <f>'ISS H15 PB PAR'!G20</f>
        <v>0</v>
      </c>
      <c r="F8" s="111">
        <f>'ISS H15 PB PAR'!H20</f>
        <v>0</v>
      </c>
      <c r="G8" s="111">
        <f>'IVR H15 PB BAN'!G20</f>
        <v>0</v>
      </c>
      <c r="H8" s="111">
        <f>'IVR H15 PB BAN'!H20</f>
        <v>0</v>
      </c>
      <c r="I8" s="111">
        <f>'IVR H15 PB PAR'!G20</f>
        <v>0</v>
      </c>
      <c r="J8" s="111">
        <f>'IVR H15 PB PAR'!H20</f>
        <v>0</v>
      </c>
      <c r="K8" s="111">
        <f>'ROM H15 PB BAN'!G20</f>
        <v>0</v>
      </c>
      <c r="L8" s="111">
        <f>'ROM H15 PB BAN'!H20</f>
        <v>0</v>
      </c>
      <c r="M8" s="111">
        <f>'ROM H15 PB PAR'!G20</f>
        <v>0</v>
      </c>
      <c r="N8" s="111">
        <f>'ROM H15 PB PAR'!H20</f>
        <v>0</v>
      </c>
      <c r="O8" s="111">
        <f>'STO H15 PB BAN'!G20</f>
        <v>0</v>
      </c>
      <c r="P8" s="111">
        <f>'STO H15 PB BAN'!H20</f>
        <v>0</v>
      </c>
      <c r="Q8" s="111">
        <f>'STO H15 PB PAR '!G20</f>
        <v>0</v>
      </c>
      <c r="R8" s="111">
        <f>'STO H15 PB PAR '!H20</f>
        <v>0</v>
      </c>
      <c r="S8" s="62">
        <f t="shared" si="0"/>
        <v>0</v>
      </c>
      <c r="T8" s="62">
        <f t="shared" si="1"/>
        <v>0</v>
      </c>
      <c r="U8" s="62">
        <f t="shared" si="2"/>
        <v>0</v>
      </c>
      <c r="V8" s="62">
        <f t="shared" ref="V8:V51" si="7">AVERAGE(F8,J8,N8,R8)</f>
        <v>0</v>
      </c>
      <c r="W8" s="62">
        <f t="shared" si="3"/>
        <v>0</v>
      </c>
      <c r="X8" s="62">
        <f t="shared" si="4"/>
        <v>0</v>
      </c>
      <c r="Y8" s="234">
        <f t="shared" si="5"/>
        <v>0</v>
      </c>
      <c r="Z8" s="234">
        <f t="shared" si="6"/>
        <v>0</v>
      </c>
    </row>
    <row r="9" spans="1:26" x14ac:dyDescent="0.25">
      <c r="A9" s="552"/>
      <c r="B9" s="182" t="s">
        <v>29</v>
      </c>
      <c r="C9" s="174">
        <f>'ISS H15 PB BAN'!G21</f>
        <v>1.6459790863363351E-3</v>
      </c>
      <c r="D9" s="111">
        <f>'ISS H15 PB BAN'!H21</f>
        <v>3.5018870387613968E-3</v>
      </c>
      <c r="E9" s="111">
        <f>'ISS H15 PB PAR'!G21</f>
        <v>0</v>
      </c>
      <c r="F9" s="111">
        <f>'ISS H15 PB PAR'!H21</f>
        <v>0</v>
      </c>
      <c r="G9" s="111">
        <f>'IVR H15 PB BAN'!G21</f>
        <v>8.5499681108015205E-4</v>
      </c>
      <c r="H9" s="111">
        <f>'IVR H15 PB BAN'!H21</f>
        <v>1.9599838750701251E-3</v>
      </c>
      <c r="I9" s="111">
        <f>'IVR H15 PB PAR'!G21</f>
        <v>3.5995010803542571E-4</v>
      </c>
      <c r="J9" s="111">
        <f>'IVR H15 PB PAR'!H21</f>
        <v>7.5381208446549544E-4</v>
      </c>
      <c r="K9" s="111">
        <f>'ROM H15 PB BAN'!G21</f>
        <v>2.9828594213542423E-3</v>
      </c>
      <c r="L9" s="111">
        <f>'ROM H15 PB BAN'!H21</f>
        <v>7.0477120451130186E-3</v>
      </c>
      <c r="M9" s="111">
        <f>'ROM H15 PB PAR'!G21</f>
        <v>0</v>
      </c>
      <c r="N9" s="111">
        <f>'ROM H15 PB PAR'!H21</f>
        <v>0</v>
      </c>
      <c r="O9" s="111">
        <f>'STO H15 PB BAN'!G21</f>
        <v>0</v>
      </c>
      <c r="P9" s="111">
        <f>'STO H15 PB BAN'!H21</f>
        <v>0</v>
      </c>
      <c r="Q9" s="111">
        <f>'STO H15 PB PAR '!G21</f>
        <v>2.8699255556923803E-3</v>
      </c>
      <c r="R9" s="111">
        <f>'STO H15 PB PAR '!H21</f>
        <v>6.5255551278456374E-3</v>
      </c>
      <c r="S9" s="62">
        <f t="shared" si="0"/>
        <v>1.0892138728123169E-3</v>
      </c>
      <c r="T9" s="62">
        <f t="shared" si="1"/>
        <v>2.4736187714069595E-3</v>
      </c>
      <c r="U9" s="62">
        <f t="shared" si="2"/>
        <v>8.0746891593195147E-4</v>
      </c>
      <c r="V9" s="62">
        <f t="shared" si="7"/>
        <v>1.8198418030777833E-3</v>
      </c>
      <c r="W9" s="62">
        <f t="shared" si="3"/>
        <v>1.3709588296926824E-3</v>
      </c>
      <c r="X9" s="62">
        <f t="shared" si="4"/>
        <v>3.127395739736135E-3</v>
      </c>
      <c r="Y9" s="234">
        <f t="shared" si="5"/>
        <v>0</v>
      </c>
      <c r="Z9" s="234">
        <f t="shared" si="6"/>
        <v>0</v>
      </c>
    </row>
    <row r="10" spans="1:26" x14ac:dyDescent="0.25">
      <c r="A10" s="552"/>
      <c r="B10" s="182" t="s">
        <v>30</v>
      </c>
      <c r="C10" s="174">
        <f>'ISS H15 PB BAN'!G22</f>
        <v>1.1715106209632703E-3</v>
      </c>
      <c r="D10" s="111">
        <f>'ISS H15 PB BAN'!H22</f>
        <v>2.4924362000577072E-3</v>
      </c>
      <c r="E10" s="111">
        <f>'ISS H15 PB PAR'!G22</f>
        <v>0</v>
      </c>
      <c r="F10" s="111">
        <f>'ISS H15 PB PAR'!H22</f>
        <v>0</v>
      </c>
      <c r="G10" s="111">
        <f>'IVR H15 PB BAN'!G22</f>
        <v>8.5499681108015205E-4</v>
      </c>
      <c r="H10" s="111">
        <f>'IVR H15 PB BAN'!H22</f>
        <v>1.9599838750701251E-3</v>
      </c>
      <c r="I10" s="111">
        <f>'IVR H15 PB PAR'!G22</f>
        <v>0</v>
      </c>
      <c r="J10" s="111">
        <f>'IVR H15 PB PAR'!H22</f>
        <v>0</v>
      </c>
      <c r="K10" s="111">
        <f>'ROM H15 PB BAN'!G22</f>
        <v>1.2439230948806609E-4</v>
      </c>
      <c r="L10" s="111">
        <f>'ROM H15 PB BAN'!H22</f>
        <v>2.9390630065309934E-4</v>
      </c>
      <c r="M10" s="111">
        <f>'ROM H15 PB PAR'!G22</f>
        <v>1.3745448482945896E-4</v>
      </c>
      <c r="N10" s="111">
        <f>'ROM H15 PB PAR'!H22</f>
        <v>3.0501113490862393E-4</v>
      </c>
      <c r="O10" s="111">
        <f>'STO H15 PB BAN'!G22</f>
        <v>0</v>
      </c>
      <c r="P10" s="111">
        <f>'STO H15 PB BAN'!H22</f>
        <v>0</v>
      </c>
      <c r="Q10" s="111">
        <f>'STO H15 PB PAR '!G22</f>
        <v>0</v>
      </c>
      <c r="R10" s="111">
        <f>'STO H15 PB PAR '!H22</f>
        <v>0</v>
      </c>
      <c r="S10" s="62">
        <f t="shared" si="0"/>
        <v>2.860442782951184E-4</v>
      </c>
      <c r="T10" s="62">
        <f t="shared" si="1"/>
        <v>6.3141718883619451E-4</v>
      </c>
      <c r="U10" s="62">
        <f t="shared" si="2"/>
        <v>3.4363621207364739E-5</v>
      </c>
      <c r="V10" s="62">
        <f t="shared" si="7"/>
        <v>7.6252783727155982E-5</v>
      </c>
      <c r="W10" s="62">
        <f t="shared" si="3"/>
        <v>5.3772493538287202E-4</v>
      </c>
      <c r="X10" s="62">
        <f t="shared" si="4"/>
        <v>1.186581593945233E-3</v>
      </c>
      <c r="Y10" s="234">
        <f t="shared" si="5"/>
        <v>0</v>
      </c>
      <c r="Z10" s="234">
        <f t="shared" si="6"/>
        <v>0</v>
      </c>
    </row>
    <row r="11" spans="1:26" x14ac:dyDescent="0.25">
      <c r="A11" s="551" t="s">
        <v>31</v>
      </c>
      <c r="B11" s="204" t="s">
        <v>32</v>
      </c>
      <c r="C11" s="176">
        <f>'ISS H15 PB BAN'!G23</f>
        <v>3.219321848619771E-2</v>
      </c>
      <c r="D11" s="96">
        <f>'ISS H15 PB BAN'!H23</f>
        <v>2.8571806380437752E-2</v>
      </c>
      <c r="E11" s="96">
        <f>'ISS H15 PB PAR'!G23</f>
        <v>1.0850101262467805E-2</v>
      </c>
      <c r="F11" s="96">
        <f>'ISS H15 PB PAR'!H23</f>
        <v>1.0084158063198088E-2</v>
      </c>
      <c r="G11" s="96">
        <f>'IVR H15 PB BAN'!G23</f>
        <v>6.1069167344132294E-3</v>
      </c>
      <c r="H11" s="96">
        <f>'IVR H15 PB BAN'!H23</f>
        <v>5.8327143457068938E-3</v>
      </c>
      <c r="I11" s="96">
        <f>'IVR H15 PB PAR'!G23</f>
        <v>3.7194844496993965E-3</v>
      </c>
      <c r="J11" s="96">
        <f>'IVR H15 PB PAR'!H23</f>
        <v>3.2447973718621446E-3</v>
      </c>
      <c r="K11" s="96">
        <f>'ROM H15 PB BAN'!G23</f>
        <v>9.8210284347187496E-3</v>
      </c>
      <c r="L11" s="96">
        <f>'ROM H15 PB BAN'!H23</f>
        <v>9.7432940684155801E-3</v>
      </c>
      <c r="M11" s="96">
        <f>'ROM H15 PB PAR'!G23</f>
        <v>1.0702605250229242E-2</v>
      </c>
      <c r="N11" s="96">
        <f>'ROM H15 PB PAR'!H23</f>
        <v>9.976117974825496E-3</v>
      </c>
      <c r="O11" s="96">
        <f>'STO H15 PB BAN'!G23</f>
        <v>6.1016551738838527E-3</v>
      </c>
      <c r="P11" s="96">
        <f>'STO H15 PB BAN'!H23</f>
        <v>5.648068790565489E-3</v>
      </c>
      <c r="Q11" s="96">
        <f>'STO H15 PB PAR '!G23</f>
        <v>1.2928515182443413E-2</v>
      </c>
      <c r="R11" s="96">
        <f>'STO H15 PB PAR '!H23</f>
        <v>1.2166455745396897E-2</v>
      </c>
      <c r="S11" s="60">
        <f t="shared" si="0"/>
        <v>1.1552940621756673E-2</v>
      </c>
      <c r="T11" s="60">
        <f t="shared" si="1"/>
        <v>1.0658426592551042E-2</v>
      </c>
      <c r="U11" s="60">
        <f t="shared" si="2"/>
        <v>9.5501765362099641E-3</v>
      </c>
      <c r="V11" s="60">
        <f t="shared" si="7"/>
        <v>8.8678822888206554E-3</v>
      </c>
      <c r="W11" s="60">
        <f t="shared" si="3"/>
        <v>1.3555704707303384E-2</v>
      </c>
      <c r="X11" s="60">
        <f t="shared" si="4"/>
        <v>1.2448970896281428E-2</v>
      </c>
      <c r="Y11" s="234">
        <f t="shared" si="5"/>
        <v>0</v>
      </c>
      <c r="Z11" s="234">
        <f t="shared" si="6"/>
        <v>0</v>
      </c>
    </row>
    <row r="12" spans="1:26" x14ac:dyDescent="0.25">
      <c r="A12" s="551"/>
      <c r="B12" s="204" t="s">
        <v>33</v>
      </c>
      <c r="C12" s="176">
        <f>'ISS H15 PB BAN'!G24</f>
        <v>3.2619706994398201E-2</v>
      </c>
      <c r="D12" s="96">
        <f>'ISS H15 PB BAN'!H24</f>
        <v>2.8000597553017679E-2</v>
      </c>
      <c r="E12" s="96">
        <f>'ISS H15 PB PAR'!G24</f>
        <v>3.3610285234352333E-2</v>
      </c>
      <c r="F12" s="96">
        <f>'ISS H15 PB PAR'!H24</f>
        <v>3.0198734537542463E-2</v>
      </c>
      <c r="G12" s="96">
        <f>'IVR H15 PB BAN'!G24</f>
        <v>4.2749840554007594E-3</v>
      </c>
      <c r="H12" s="96">
        <f>'IVR H15 PB BAN'!H24</f>
        <v>3.9390947424376268E-3</v>
      </c>
      <c r="I12" s="96">
        <f>'IVR H15 PB PAR'!G24</f>
        <v>0</v>
      </c>
      <c r="J12" s="96">
        <f>'IVR H15 PB PAR'!H24</f>
        <v>0</v>
      </c>
      <c r="K12" s="96">
        <f>'ROM H15 PB BAN'!G24</f>
        <v>6.3440077838913672E-3</v>
      </c>
      <c r="L12" s="96">
        <f>'ROM H15 PB BAN'!H24</f>
        <v>6.0930158221261677E-3</v>
      </c>
      <c r="M12" s="96">
        <f>'ROM H15 PB PAR'!G24</f>
        <v>4.2396949042518665E-2</v>
      </c>
      <c r="N12" s="96">
        <f>'ROM H15 PB PAR'!H24</f>
        <v>3.8247399946818694E-2</v>
      </c>
      <c r="O12" s="96">
        <f>'STO H15 PB BAN'!G24</f>
        <v>0</v>
      </c>
      <c r="P12" s="96">
        <f>'STO H15 PB BAN'!H24</f>
        <v>0</v>
      </c>
      <c r="Q12" s="96">
        <f>'STO H15 PB PAR '!G24</f>
        <v>1.1021387115016367E-2</v>
      </c>
      <c r="R12" s="96">
        <f>'STO H15 PB PAR '!H24</f>
        <v>1.0025094589117451E-2</v>
      </c>
      <c r="S12" s="60">
        <f t="shared" si="0"/>
        <v>1.6283415028197214E-2</v>
      </c>
      <c r="T12" s="60">
        <f t="shared" si="1"/>
        <v>1.4562992148882511E-2</v>
      </c>
      <c r="U12" s="60">
        <f t="shared" si="2"/>
        <v>2.1757155347971843E-2</v>
      </c>
      <c r="V12" s="60">
        <f t="shared" si="7"/>
        <v>1.961780726836965E-2</v>
      </c>
      <c r="W12" s="60">
        <f t="shared" si="3"/>
        <v>1.0809674708422583E-2</v>
      </c>
      <c r="X12" s="60">
        <f t="shared" si="4"/>
        <v>9.5081770293953677E-3</v>
      </c>
      <c r="Y12" s="234">
        <f t="shared" si="5"/>
        <v>0</v>
      </c>
      <c r="Z12" s="234">
        <f t="shared" si="6"/>
        <v>0</v>
      </c>
    </row>
    <row r="13" spans="1:26" x14ac:dyDescent="0.25">
      <c r="A13" s="551"/>
      <c r="B13" s="204" t="s">
        <v>34</v>
      </c>
      <c r="C13" s="176">
        <f>'ISS H15 PB BAN'!G25</f>
        <v>2.3474194046673579E-2</v>
      </c>
      <c r="D13" s="96">
        <f>'ISS H15 PB BAN'!H25</f>
        <v>2.015013379780595E-2</v>
      </c>
      <c r="E13" s="96">
        <f>'ISS H15 PB PAR'!G25</f>
        <v>1.915152102032907E-2</v>
      </c>
      <c r="F13" s="96">
        <f>'ISS H15 PB PAR'!H25</f>
        <v>1.7207580811958154E-2</v>
      </c>
      <c r="G13" s="96">
        <f>'IVR H15 PB BAN'!G25</f>
        <v>8.4885241113370952E-2</v>
      </c>
      <c r="H13" s="96">
        <f>'IVR H15 PB BAN'!H25</f>
        <v>7.8215731952919337E-2</v>
      </c>
      <c r="I13" s="96">
        <f>'IVR H15 PB PAR'!G25</f>
        <v>4.5729021591775207E-2</v>
      </c>
      <c r="J13" s="96">
        <f>'IVR H15 PB PAR'!H25</f>
        <v>3.8587655470238416E-2</v>
      </c>
      <c r="K13" s="96">
        <f>'ROM H15 PB BAN'!G25</f>
        <v>4.7375577870437745E-2</v>
      </c>
      <c r="L13" s="96">
        <f>'ROM H15 PB BAN'!H25</f>
        <v>4.550122814790835E-2</v>
      </c>
      <c r="M13" s="96">
        <f>'ROM H15 PB PAR'!G25</f>
        <v>2.3545731550504326E-2</v>
      </c>
      <c r="N13" s="96">
        <f>'ROM H15 PB PAR'!H25</f>
        <v>2.1241222115992775E-2</v>
      </c>
      <c r="O13" s="96">
        <f>'STO H15 PB BAN'!G25</f>
        <v>2.8056955886898233E-2</v>
      </c>
      <c r="P13" s="96">
        <f>'STO H15 PB BAN'!H25</f>
        <v>2.5067443541154262E-2</v>
      </c>
      <c r="Q13" s="96">
        <f>'STO H15 PB PAR '!G25</f>
        <v>1.7440316838438299E-2</v>
      </c>
      <c r="R13" s="96">
        <f>'STO H15 PB PAR '!H25</f>
        <v>1.5863776868095439E-2</v>
      </c>
      <c r="S13" s="60">
        <f t="shared" si="0"/>
        <v>3.6207319989803428E-2</v>
      </c>
      <c r="T13" s="60">
        <f t="shared" si="1"/>
        <v>3.2729346588259087E-2</v>
      </c>
      <c r="U13" s="60">
        <f t="shared" si="2"/>
        <v>2.6466647750261724E-2</v>
      </c>
      <c r="V13" s="60">
        <f t="shared" si="7"/>
        <v>2.3225058816571196E-2</v>
      </c>
      <c r="W13" s="60">
        <f t="shared" si="3"/>
        <v>4.5947992229345133E-2</v>
      </c>
      <c r="X13" s="60">
        <f t="shared" si="4"/>
        <v>4.2233634359946974E-2</v>
      </c>
      <c r="Y13" s="234">
        <f t="shared" si="5"/>
        <v>0</v>
      </c>
      <c r="Z13" s="234">
        <f t="shared" si="6"/>
        <v>0</v>
      </c>
    </row>
    <row r="14" spans="1:26" x14ac:dyDescent="0.25">
      <c r="A14" s="551"/>
      <c r="B14" s="204" t="s">
        <v>35</v>
      </c>
      <c r="C14" s="176">
        <f>'ISS H15 PB BAN'!G26</f>
        <v>1.5792069792711926E-2</v>
      </c>
      <c r="D14" s="96">
        <f>'ISS H15 PB BAN'!H26</f>
        <v>1.3691156367742287E-2</v>
      </c>
      <c r="E14" s="96">
        <f>'ISS H15 PB PAR'!G26</f>
        <v>8.9514420473710402E-2</v>
      </c>
      <c r="F14" s="96">
        <f>'ISS H15 PB PAR'!H26</f>
        <v>8.1225857019192341E-2</v>
      </c>
      <c r="G14" s="96">
        <f>'IVR H15 PB BAN'!G26</f>
        <v>2.0249000503034197E-2</v>
      </c>
      <c r="H14" s="96">
        <f>'IVR H15 PB BAN'!H26</f>
        <v>1.8837431043831315E-2</v>
      </c>
      <c r="I14" s="96">
        <f>'IVR H15 PB PAR'!G26</f>
        <v>2.1604685417763614E-2</v>
      </c>
      <c r="J14" s="96">
        <f>'IVR H15 PB PAR'!H26</f>
        <v>1.8412961922307659E-2</v>
      </c>
      <c r="K14" s="96">
        <f>'ROM H15 PB BAN'!G26</f>
        <v>3.1947523485438431E-2</v>
      </c>
      <c r="L14" s="96">
        <f>'ROM H15 PB BAN'!H26</f>
        <v>3.099400116793237E-2</v>
      </c>
      <c r="M14" s="96">
        <f>'ROM H15 PB PAR'!G26</f>
        <v>4.3656209484182078E-2</v>
      </c>
      <c r="N14" s="96">
        <f>'ROM H15 PB PAR'!H26</f>
        <v>3.9780239261182307E-2</v>
      </c>
      <c r="O14" s="96">
        <f>'STO H15 PB BAN'!G26</f>
        <v>5.5234633953979144E-2</v>
      </c>
      <c r="P14" s="96">
        <f>'STO H15 PB BAN'!H26</f>
        <v>4.9827188715128028E-2</v>
      </c>
      <c r="Q14" s="96">
        <f>'STO H15 PB PAR '!G26</f>
        <v>1.6460731250987883E-2</v>
      </c>
      <c r="R14" s="96">
        <f>'STO H15 PB PAR '!H26</f>
        <v>1.5120826166018932E-2</v>
      </c>
      <c r="S14" s="60">
        <f t="shared" si="0"/>
        <v>3.6807409295225961E-2</v>
      </c>
      <c r="T14" s="60">
        <f t="shared" si="1"/>
        <v>3.348620770791691E-2</v>
      </c>
      <c r="U14" s="60">
        <f t="shared" si="2"/>
        <v>4.280901165666099E-2</v>
      </c>
      <c r="V14" s="60">
        <f t="shared" si="7"/>
        <v>3.8634971092175306E-2</v>
      </c>
      <c r="W14" s="60">
        <f t="shared" si="3"/>
        <v>3.0805806933790925E-2</v>
      </c>
      <c r="X14" s="60">
        <f t="shared" si="4"/>
        <v>2.8337444323658499E-2</v>
      </c>
      <c r="Y14" s="234">
        <f t="shared" si="5"/>
        <v>0</v>
      </c>
      <c r="Z14" s="234">
        <f t="shared" si="6"/>
        <v>0</v>
      </c>
    </row>
    <row r="15" spans="1:26" x14ac:dyDescent="0.25">
      <c r="A15" s="551"/>
      <c r="B15" s="204" t="s">
        <v>36</v>
      </c>
      <c r="C15" s="176">
        <f>'ISS H15 PB BAN'!G27</f>
        <v>2.2759825795437713E-2</v>
      </c>
      <c r="D15" s="96">
        <f>'ISS H15 PB BAN'!H27</f>
        <v>2.0150038097392978E-2</v>
      </c>
      <c r="E15" s="96">
        <f>'ISS H15 PB PAR'!G27</f>
        <v>1.2496496467146456E-2</v>
      </c>
      <c r="F15" s="96">
        <f>'ISS H15 PB PAR'!H27</f>
        <v>1.1579968573875698E-2</v>
      </c>
      <c r="G15" s="96">
        <f>'IVR H15 PB BAN'!G27</f>
        <v>8.9416914000511091E-2</v>
      </c>
      <c r="H15" s="96">
        <f>'IVR H15 PB BAN'!H27</f>
        <v>8.4958810413282931E-2</v>
      </c>
      <c r="I15" s="96">
        <f>'IVR H15 PB PAR'!G27</f>
        <v>6.0985146970748673E-2</v>
      </c>
      <c r="J15" s="96">
        <f>'IVR H15 PB PAR'!H27</f>
        <v>5.3076640795658443E-2</v>
      </c>
      <c r="K15" s="96">
        <f>'ROM H15 PB BAN'!G27</f>
        <v>5.3463133016274983E-3</v>
      </c>
      <c r="L15" s="96">
        <f>'ROM H15 PB BAN'!H27</f>
        <v>5.2963524174259435E-3</v>
      </c>
      <c r="M15" s="96">
        <f>'ROM H15 PB PAR'!G27</f>
        <v>1.3157941410690951E-3</v>
      </c>
      <c r="N15" s="96">
        <f>'ROM H15 PB PAR'!H27</f>
        <v>1.2243304439944998E-3</v>
      </c>
      <c r="O15" s="96">
        <f>'STO H15 PB BAN'!G27</f>
        <v>4.7507647052554176E-2</v>
      </c>
      <c r="P15" s="96">
        <f>'STO H15 PB BAN'!H27</f>
        <v>4.3770052211242014E-2</v>
      </c>
      <c r="Q15" s="96">
        <f>'STO H15 PB PAR '!G27</f>
        <v>8.8819117548675594E-2</v>
      </c>
      <c r="R15" s="96">
        <f>'STO H15 PB PAR '!H27</f>
        <v>8.3321102729834257E-2</v>
      </c>
      <c r="S15" s="60">
        <f t="shared" si="0"/>
        <v>4.1080906909721285E-2</v>
      </c>
      <c r="T15" s="60">
        <f t="shared" si="1"/>
        <v>3.7922161960338346E-2</v>
      </c>
      <c r="U15" s="60">
        <f t="shared" si="2"/>
        <v>4.0904138781909953E-2</v>
      </c>
      <c r="V15" s="60">
        <f t="shared" si="7"/>
        <v>3.7300510635840722E-2</v>
      </c>
      <c r="W15" s="60">
        <f t="shared" si="3"/>
        <v>4.1257675037532617E-2</v>
      </c>
      <c r="X15" s="60">
        <f t="shared" si="4"/>
        <v>3.854381328483597E-2</v>
      </c>
      <c r="Y15" s="234">
        <f t="shared" si="5"/>
        <v>0</v>
      </c>
      <c r="Z15" s="234">
        <f t="shared" si="6"/>
        <v>0</v>
      </c>
    </row>
    <row r="16" spans="1:26" x14ac:dyDescent="0.25">
      <c r="A16" s="552" t="s">
        <v>37</v>
      </c>
      <c r="B16" s="182" t="s">
        <v>38</v>
      </c>
      <c r="C16" s="174">
        <f>'ISS H15 PB BAN'!G28</f>
        <v>3.0561899942330766E-2</v>
      </c>
      <c r="D16" s="111">
        <f>'ISS H15 PB BAN'!H28</f>
        <v>2.6527055846922783E-2</v>
      </c>
      <c r="E16" s="111">
        <f>'ISS H15 PB PAR'!G28</f>
        <v>3.5991626628817254E-2</v>
      </c>
      <c r="F16" s="111">
        <f>'ISS H15 PB PAR'!H28</f>
        <v>3.2514151549679099E-2</v>
      </c>
      <c r="G16" s="111">
        <f>'IVR H15 PB BAN'!G28</f>
        <v>3.9319889417881927E-2</v>
      </c>
      <c r="H16" s="111">
        <f>'IVR H15 PB BAN'!H28</f>
        <v>3.6513831469721675E-2</v>
      </c>
      <c r="I16" s="111">
        <f>'IVR H15 PB PAR'!G28</f>
        <v>4.639036992360563E-2</v>
      </c>
      <c r="J16" s="111">
        <f>'IVR H15 PB PAR'!H28</f>
        <v>3.9722429873740972E-2</v>
      </c>
      <c r="K16" s="111">
        <f>'ROM H15 PB BAN'!G28</f>
        <v>4.9604415415785551E-2</v>
      </c>
      <c r="L16" s="111">
        <f>'ROM H15 PB BAN'!H28</f>
        <v>4.7954859076234105E-2</v>
      </c>
      <c r="M16" s="111">
        <f>'ROM H15 PB PAR'!G28</f>
        <v>3.7370992314964102E-2</v>
      </c>
      <c r="N16" s="111">
        <f>'ROM H15 PB PAR'!H28</f>
        <v>3.3837671929917434E-2</v>
      </c>
      <c r="O16" s="111">
        <f>'STO H15 PB BAN'!G28</f>
        <v>4.7028040969017471E-2</v>
      </c>
      <c r="P16" s="111">
        <f>'STO H15 PB BAN'!H28</f>
        <v>4.267265812978132E-2</v>
      </c>
      <c r="Q16" s="111">
        <f>'STO H15 PB PAR '!G28</f>
        <v>3.8997075597062454E-2</v>
      </c>
      <c r="R16" s="111">
        <f>'STO H15 PB PAR '!H28</f>
        <v>3.6208341071106008E-2</v>
      </c>
      <c r="S16" s="62">
        <f t="shared" si="0"/>
        <v>4.0658038776183139E-2</v>
      </c>
      <c r="T16" s="62">
        <f t="shared" si="1"/>
        <v>3.699387486838792E-2</v>
      </c>
      <c r="U16" s="62">
        <f t="shared" si="2"/>
        <v>3.9687516116112362E-2</v>
      </c>
      <c r="V16" s="62">
        <f t="shared" si="7"/>
        <v>3.557064860611088E-2</v>
      </c>
      <c r="W16" s="62">
        <f t="shared" si="3"/>
        <v>4.162856143625393E-2</v>
      </c>
      <c r="X16" s="62">
        <f t="shared" si="4"/>
        <v>3.8417101130664967E-2</v>
      </c>
      <c r="Y16" s="234">
        <f t="shared" si="5"/>
        <v>0</v>
      </c>
      <c r="Z16" s="234">
        <f t="shared" si="6"/>
        <v>0</v>
      </c>
    </row>
    <row r="17" spans="1:26" x14ac:dyDescent="0.25">
      <c r="A17" s="552"/>
      <c r="B17" s="182" t="s">
        <v>39</v>
      </c>
      <c r="C17" s="174">
        <f>'ISS H15 PB BAN'!G29</f>
        <v>1.1743094517983353E-2</v>
      </c>
      <c r="D17" s="111">
        <f>'ISS H15 PB BAN'!H29</f>
        <v>1.0199839963038122E-2</v>
      </c>
      <c r="E17" s="111">
        <f>'ISS H15 PB PAR'!G29</f>
        <v>3.5452955438534287E-2</v>
      </c>
      <c r="F17" s="111">
        <f>'ISS H15 PB PAR'!H29</f>
        <v>3.2054419606670798E-2</v>
      </c>
      <c r="G17" s="111">
        <f>'IVR H15 PB BAN'!G29</f>
        <v>1.1219816643514062E-2</v>
      </c>
      <c r="H17" s="111">
        <f>'IVR H15 PB BAN'!H29</f>
        <v>1.0434485183328922E-2</v>
      </c>
      <c r="I17" s="111">
        <f>'IVR H15 PB PAR'!G29</f>
        <v>4.2481791683818285E-2</v>
      </c>
      <c r="J17" s="111">
        <f>'IVR H15 PB PAR'!H29</f>
        <v>3.6399994223695532E-2</v>
      </c>
      <c r="K17" s="111">
        <f>'ROM H15 PB BAN'!G29</f>
        <v>3.2211644142570627E-2</v>
      </c>
      <c r="L17" s="111">
        <f>'ROM H15 PB BAN'!H29</f>
        <v>3.1153198033181426E-2</v>
      </c>
      <c r="M17" s="111">
        <f>'ROM H15 PB PAR'!G29</f>
        <v>2.6903389893636847E-3</v>
      </c>
      <c r="N17" s="111">
        <f>'ROM H15 PB PAR'!H29</f>
        <v>2.4371853219521617E-3</v>
      </c>
      <c r="O17" s="111">
        <f>'STO H15 PB BAN'!G29</f>
        <v>8.3291589840877381E-2</v>
      </c>
      <c r="P17" s="111">
        <f>'STO H15 PB BAN'!H29</f>
        <v>7.5678318040854814E-2</v>
      </c>
      <c r="Q17" s="111">
        <f>'STO H15 PB PAR '!G29</f>
        <v>2.1855586924118882E-2</v>
      </c>
      <c r="R17" s="111">
        <f>'STO H15 PB PAR '!H29</f>
        <v>2.0310764946882175E-2</v>
      </c>
      <c r="S17" s="62">
        <f t="shared" si="0"/>
        <v>3.0118352272597571E-2</v>
      </c>
      <c r="T17" s="62">
        <f t="shared" si="1"/>
        <v>2.7333525664950495E-2</v>
      </c>
      <c r="U17" s="62">
        <f t="shared" si="2"/>
        <v>2.5620168258958784E-2</v>
      </c>
      <c r="V17" s="62">
        <f t="shared" si="7"/>
        <v>2.2800591024800167E-2</v>
      </c>
      <c r="W17" s="62">
        <f t="shared" si="3"/>
        <v>3.4616536286236357E-2</v>
      </c>
      <c r="X17" s="62">
        <f t="shared" si="4"/>
        <v>3.1866460305100819E-2</v>
      </c>
      <c r="Y17" s="234">
        <f t="shared" si="5"/>
        <v>0</v>
      </c>
      <c r="Z17" s="234">
        <f t="shared" si="6"/>
        <v>0</v>
      </c>
    </row>
    <row r="18" spans="1:26" x14ac:dyDescent="0.25">
      <c r="A18" s="552"/>
      <c r="B18" s="182" t="s">
        <v>40</v>
      </c>
      <c r="C18" s="174">
        <f>'ISS H15 PB BAN'!G30</f>
        <v>1.0543595588669432E-2</v>
      </c>
      <c r="D18" s="111">
        <f>'ISS H15 PB BAN'!H30</f>
        <v>9.3457282511038992E-3</v>
      </c>
      <c r="E18" s="111">
        <f>'ISS H15 PB PAR'!G30</f>
        <v>1.8215959597635292E-2</v>
      </c>
      <c r="F18" s="111">
        <f>'ISS H15 PB PAR'!H30</f>
        <v>1.680554806260056E-2</v>
      </c>
      <c r="G18" s="111">
        <f>'IVR H15 PB BAN'!G30</f>
        <v>2.8575018283741465E-2</v>
      </c>
      <c r="H18" s="111">
        <f>'IVR H15 PB BAN'!H30</f>
        <v>2.7103352018152008E-2</v>
      </c>
      <c r="I18" s="111">
        <f>'IVR H15 PB PAR'!G30</f>
        <v>9.9893353981991336E-3</v>
      </c>
      <c r="J18" s="111">
        <f>'IVR H15 PB PAR'!H30</f>
        <v>8.7348948649254073E-3</v>
      </c>
      <c r="K18" s="111">
        <f>'ROM H15 PB BAN'!G30</f>
        <v>6.0952231649152354E-3</v>
      </c>
      <c r="L18" s="111">
        <f>'ROM H15 PB BAN'!H30</f>
        <v>6.0171344497688597E-3</v>
      </c>
      <c r="M18" s="111">
        <f>'ROM H15 PB PAR'!G30</f>
        <v>7.3637914735652866E-3</v>
      </c>
      <c r="N18" s="111">
        <f>'ROM H15 PB PAR'!H30</f>
        <v>6.8086922401663927E-3</v>
      </c>
      <c r="O18" s="111">
        <f>'STO H15 PB BAN'!G30</f>
        <v>0</v>
      </c>
      <c r="P18" s="111">
        <f>'STO H15 PB BAN'!H30</f>
        <v>0</v>
      </c>
      <c r="Q18" s="111">
        <f>'STO H15 PB PAR '!G30</f>
        <v>6.8973905501972192E-3</v>
      </c>
      <c r="R18" s="111">
        <f>'STO H15 PB PAR '!H30</f>
        <v>6.5402772538715494E-3</v>
      </c>
      <c r="S18" s="62">
        <f t="shared" si="0"/>
        <v>1.0960039257115384E-2</v>
      </c>
      <c r="T18" s="62">
        <f t="shared" si="1"/>
        <v>1.0169453392573585E-2</v>
      </c>
      <c r="U18" s="62">
        <f t="shared" si="2"/>
        <v>1.0616619254899233E-2</v>
      </c>
      <c r="V18" s="62">
        <f t="shared" si="7"/>
        <v>9.7223531053909767E-3</v>
      </c>
      <c r="W18" s="62">
        <f t="shared" si="3"/>
        <v>1.1303459259331534E-2</v>
      </c>
      <c r="X18" s="62">
        <f t="shared" si="4"/>
        <v>1.0616553679756191E-2</v>
      </c>
      <c r="Y18" s="234">
        <f t="shared" si="5"/>
        <v>0</v>
      </c>
      <c r="Z18" s="234">
        <f t="shared" si="6"/>
        <v>0</v>
      </c>
    </row>
    <row r="19" spans="1:26" x14ac:dyDescent="0.25">
      <c r="A19" s="551" t="s">
        <v>41</v>
      </c>
      <c r="B19" s="204" t="s">
        <v>42</v>
      </c>
      <c r="C19" s="176">
        <f>'ISS H15 PB BAN'!G31</f>
        <v>1.2441469450161691E-2</v>
      </c>
      <c r="D19" s="96">
        <f>'ISS H15 PB BAN'!H31</f>
        <v>1.3652860352453911E-2</v>
      </c>
      <c r="E19" s="96">
        <f>'ISS H15 PB PAR'!G31</f>
        <v>9.0744635519737181E-3</v>
      </c>
      <c r="F19" s="96">
        <f>'ISS H15 PB PAR'!H31</f>
        <v>1.0365726798175672E-2</v>
      </c>
      <c r="G19" s="96">
        <f>'IVR H15 PB BAN'!G31</f>
        <v>3.0484764213040906E-3</v>
      </c>
      <c r="H19" s="96">
        <f>'IVR H15 PB BAN'!H31</f>
        <v>3.5901477045397773E-3</v>
      </c>
      <c r="I19" s="96">
        <f>'IVR H15 PB PAR'!G31</f>
        <v>5.3992516205313831E-3</v>
      </c>
      <c r="J19" s="96">
        <f>'IVR H15 PB PAR'!H31</f>
        <v>5.8338012423227283E-3</v>
      </c>
      <c r="K19" s="96">
        <f>'ROM H15 PB BAN'!G31</f>
        <v>1.7030670372307894E-2</v>
      </c>
      <c r="L19" s="96">
        <f>'ROM H15 PB BAN'!H31</f>
        <v>2.0758493868168602E-2</v>
      </c>
      <c r="M19" s="96">
        <f>'ROM H15 PB PAR'!G31</f>
        <v>6.9713810894553802E-3</v>
      </c>
      <c r="N19" s="96">
        <f>'ROM H15 PB PAR'!H31</f>
        <v>7.9710718141435041E-3</v>
      </c>
      <c r="O19" s="96">
        <f>'STO H15 PB BAN'!G31</f>
        <v>5.2490221364852379E-3</v>
      </c>
      <c r="P19" s="96">
        <f>'STO H15 PB BAN'!H31</f>
        <v>6.0001650456305835E-3</v>
      </c>
      <c r="Q19" s="96">
        <f>'STO H15 PB PAR '!G31</f>
        <v>1.0420373164189879E-2</v>
      </c>
      <c r="R19" s="96">
        <f>'STO H15 PB PAR '!H31</f>
        <v>1.2207077407815927E-2</v>
      </c>
      <c r="S19" s="60">
        <f t="shared" si="0"/>
        <v>8.7043884758011593E-3</v>
      </c>
      <c r="T19" s="60">
        <f t="shared" si="1"/>
        <v>1.0047418029156339E-2</v>
      </c>
      <c r="U19" s="60">
        <f t="shared" si="2"/>
        <v>7.9663673565375896E-3</v>
      </c>
      <c r="V19" s="60">
        <f t="shared" si="7"/>
        <v>9.0944193156144576E-3</v>
      </c>
      <c r="W19" s="60">
        <f t="shared" si="3"/>
        <v>9.442409595064729E-3</v>
      </c>
      <c r="X19" s="60">
        <f t="shared" si="4"/>
        <v>1.1000416742698218E-2</v>
      </c>
      <c r="Y19" s="234">
        <f t="shared" si="5"/>
        <v>0</v>
      </c>
      <c r="Z19" s="234">
        <f t="shared" si="6"/>
        <v>0</v>
      </c>
    </row>
    <row r="20" spans="1:26" x14ac:dyDescent="0.25">
      <c r="A20" s="551"/>
      <c r="B20" s="204" t="s">
        <v>43</v>
      </c>
      <c r="C20" s="176">
        <f>'ISS H15 PB BAN'!G32</f>
        <v>1.8966743625629463E-2</v>
      </c>
      <c r="D20" s="96">
        <f>'ISS H15 PB BAN'!H32</f>
        <v>2.0813482129166748E-2</v>
      </c>
      <c r="E20" s="96">
        <f>'ISS H15 PB PAR'!G32</f>
        <v>1.2252478900196437E-2</v>
      </c>
      <c r="F20" s="96">
        <f>'ISS H15 PB PAR'!H32</f>
        <v>1.3995962202330309E-2</v>
      </c>
      <c r="G20" s="96">
        <f>'IVR H15 PB BAN'!G32</f>
        <v>2.6869294900926195E-3</v>
      </c>
      <c r="H20" s="96">
        <f>'IVR H15 PB BAN'!H32</f>
        <v>3.1643589806706271E-3</v>
      </c>
      <c r="I20" s="96">
        <f>'IVR H15 PB PAR'!G32</f>
        <v>1.3364227611139265E-2</v>
      </c>
      <c r="J20" s="96">
        <f>'IVR H15 PB PAR'!H32</f>
        <v>1.4439824834997199E-2</v>
      </c>
      <c r="K20" s="96">
        <f>'ROM H15 PB BAN'!G32</f>
        <v>1.6162480212250775E-3</v>
      </c>
      <c r="L20" s="96">
        <f>'ROM H15 PB BAN'!H32</f>
        <v>1.9700266580577235E-3</v>
      </c>
      <c r="M20" s="96">
        <f>'ROM H15 PB PAR'!G32</f>
        <v>6.8538796750043937E-3</v>
      </c>
      <c r="N20" s="96">
        <f>'ROM H15 PB PAR'!H32</f>
        <v>7.8367207865875817E-3</v>
      </c>
      <c r="O20" s="96">
        <f>'STO H15 PB BAN'!G32</f>
        <v>4.9292847474607564E-3</v>
      </c>
      <c r="P20" s="96">
        <f>'STO H15 PB BAN'!H32</f>
        <v>5.6346727585870953E-3</v>
      </c>
      <c r="Q20" s="96">
        <f>'STO H15 PB PAR '!G32</f>
        <v>5.9345930619318903E-3</v>
      </c>
      <c r="R20" s="96">
        <f>'STO H15 PB PAR '!H32</f>
        <v>6.9521538000047248E-3</v>
      </c>
      <c r="S20" s="60">
        <f t="shared" si="0"/>
        <v>8.3255481415849871E-3</v>
      </c>
      <c r="T20" s="60">
        <f t="shared" si="1"/>
        <v>9.3509002688002517E-3</v>
      </c>
      <c r="U20" s="60">
        <f t="shared" si="2"/>
        <v>9.6012948120679977E-3</v>
      </c>
      <c r="V20" s="60">
        <f t="shared" si="7"/>
        <v>1.0806165405979952E-2</v>
      </c>
      <c r="W20" s="60">
        <f t="shared" si="3"/>
        <v>7.0498014711019791E-3</v>
      </c>
      <c r="X20" s="60">
        <f t="shared" si="4"/>
        <v>7.8956351316205476E-3</v>
      </c>
      <c r="Y20" s="234">
        <f t="shared" si="5"/>
        <v>0</v>
      </c>
      <c r="Z20" s="234">
        <f t="shared" si="6"/>
        <v>0</v>
      </c>
    </row>
    <row r="21" spans="1:26" x14ac:dyDescent="0.25">
      <c r="A21" s="551"/>
      <c r="B21" s="204" t="s">
        <v>44</v>
      </c>
      <c r="C21" s="176">
        <f>'ISS H15 PB BAN'!G33</f>
        <v>2.421655060626007E-2</v>
      </c>
      <c r="D21" s="96">
        <f>'ISS H15 PB BAN'!H33</f>
        <v>2.6574448056142189E-2</v>
      </c>
      <c r="E21" s="265">
        <f>'ISS H15 PB PAR'!G33</f>
        <v>0</v>
      </c>
      <c r="F21" s="265">
        <f>'ISS H15 PB PAR'!H33</f>
        <v>0</v>
      </c>
      <c r="G21" s="265">
        <f>'IVR H15 PB BAN'!G33</f>
        <v>0</v>
      </c>
      <c r="H21" s="265">
        <f>'IVR H15 PB BAN'!H33</f>
        <v>0</v>
      </c>
      <c r="I21" s="265">
        <f>'IVR H15 PB PAR'!G33</f>
        <v>0</v>
      </c>
      <c r="J21" s="265">
        <f>'IVR H15 PB PAR'!H33</f>
        <v>0</v>
      </c>
      <c r="K21" s="265">
        <f>'ROM H15 PB BAN'!G33</f>
        <v>0</v>
      </c>
      <c r="L21" s="265">
        <f>'ROM H15 PB BAN'!H33</f>
        <v>0</v>
      </c>
      <c r="M21" s="265">
        <f>'ROM H15 PB PAR'!G33</f>
        <v>0</v>
      </c>
      <c r="N21" s="265">
        <f>'ROM H15 PB PAR'!H33</f>
        <v>0</v>
      </c>
      <c r="O21" s="265">
        <f>'STO H15 PB BAN'!G33</f>
        <v>0</v>
      </c>
      <c r="P21" s="265">
        <f>'STO H15 PB BAN'!H33</f>
        <v>0</v>
      </c>
      <c r="Q21" s="265">
        <f>'STO H15 PB PAR '!G33</f>
        <v>0</v>
      </c>
      <c r="R21" s="265">
        <f>'STO H15 PB PAR '!H33</f>
        <v>0</v>
      </c>
      <c r="S21" s="60">
        <f t="shared" si="0"/>
        <v>3.0270688257825087E-3</v>
      </c>
      <c r="T21" s="60">
        <f t="shared" si="1"/>
        <v>3.3218060070177736E-3</v>
      </c>
      <c r="U21" s="60">
        <f t="shared" si="2"/>
        <v>0</v>
      </c>
      <c r="V21" s="60">
        <f t="shared" si="7"/>
        <v>0</v>
      </c>
      <c r="W21" s="60">
        <f t="shared" si="3"/>
        <v>6.0541376515650175E-3</v>
      </c>
      <c r="X21" s="60">
        <f t="shared" si="4"/>
        <v>6.6436120140355472E-3</v>
      </c>
      <c r="Y21" s="234">
        <f t="shared" si="5"/>
        <v>0</v>
      </c>
      <c r="Z21" s="234">
        <f t="shared" si="6"/>
        <v>0</v>
      </c>
    </row>
    <row r="22" spans="1:26" x14ac:dyDescent="0.25">
      <c r="A22" s="551"/>
      <c r="B22" s="204" t="s">
        <v>120</v>
      </c>
      <c r="C22" s="176">
        <f>'ISS H15 PB BAN'!G34</f>
        <v>0</v>
      </c>
      <c r="D22" s="96">
        <f>'ISS H15 PB BAN'!H34</f>
        <v>0</v>
      </c>
      <c r="E22" s="96">
        <f>'ISS H15 PB PAR'!G34</f>
        <v>0</v>
      </c>
      <c r="F22" s="96">
        <f>'ISS H15 PB PAR'!H34</f>
        <v>0</v>
      </c>
      <c r="G22" s="96">
        <f>'IVR H15 PB BAN'!G34</f>
        <v>0</v>
      </c>
      <c r="H22" s="96">
        <f>'IVR H15 PB BAN'!H34</f>
        <v>0</v>
      </c>
      <c r="I22" s="96">
        <f>'IVR H15 PB PAR'!G34</f>
        <v>3.1349254742498683E-3</v>
      </c>
      <c r="J22" s="96">
        <f>'IVR H15 PB PAR'!H34</f>
        <v>3.3872346413201847E-3</v>
      </c>
      <c r="K22" s="96">
        <f>'ROM H15 PB BAN'!G34</f>
        <v>8.7074616641646257E-4</v>
      </c>
      <c r="L22" s="96">
        <f>'ROM H15 PB BAN'!H34</f>
        <v>1.0613427751897701E-3</v>
      </c>
      <c r="M22" s="96">
        <f>'ROM H15 PB PAR'!G34</f>
        <v>0</v>
      </c>
      <c r="N22" s="96">
        <f>'ROM H15 PB PAR'!H34</f>
        <v>0</v>
      </c>
      <c r="O22" s="96">
        <f>'STO H15 PB BAN'!G34</f>
        <v>0</v>
      </c>
      <c r="P22" s="96">
        <f>'STO H15 PB BAN'!H34</f>
        <v>0</v>
      </c>
      <c r="Q22" s="96">
        <f>'STO H15 PB PAR '!G34</f>
        <v>0</v>
      </c>
      <c r="R22" s="96">
        <f>'STO H15 PB PAR '!H34</f>
        <v>0</v>
      </c>
      <c r="S22" s="60">
        <f t="shared" si="0"/>
        <v>5.0070895508329142E-4</v>
      </c>
      <c r="T22" s="60">
        <f t="shared" si="1"/>
        <v>5.5607217706374432E-4</v>
      </c>
      <c r="U22" s="60">
        <f t="shared" si="2"/>
        <v>7.8373136856246708E-4</v>
      </c>
      <c r="V22" s="60">
        <f t="shared" si="7"/>
        <v>8.4680866033004618E-4</v>
      </c>
      <c r="W22" s="60">
        <f t="shared" si="3"/>
        <v>2.1768654160411564E-4</v>
      </c>
      <c r="X22" s="60">
        <f t="shared" si="4"/>
        <v>2.6533569379744252E-4</v>
      </c>
      <c r="Y22" s="234">
        <f t="shared" si="5"/>
        <v>0</v>
      </c>
      <c r="Z22" s="234">
        <f t="shared" si="6"/>
        <v>0</v>
      </c>
    </row>
    <row r="23" spans="1:26" x14ac:dyDescent="0.25">
      <c r="A23" s="205" t="s">
        <v>45</v>
      </c>
      <c r="B23" s="182" t="s">
        <v>46</v>
      </c>
      <c r="C23" s="174">
        <f>'ISS H15 PB BAN'!G35</f>
        <v>6.6240329206479487E-2</v>
      </c>
      <c r="D23" s="111">
        <f>'ISS H15 PB BAN'!H35</f>
        <v>5.7702396022015191E-2</v>
      </c>
      <c r="E23" s="111">
        <f>'ISS H15 PB PAR'!G35</f>
        <v>1.4779459237781711E-2</v>
      </c>
      <c r="F23" s="111">
        <f>'ISS H15 PB PAR'!H35</f>
        <v>1.3401604400057292E-2</v>
      </c>
      <c r="G23" s="111">
        <f>'IVR H15 PB BAN'!G35</f>
        <v>3.3429805947987917E-2</v>
      </c>
      <c r="H23" s="111">
        <f>'IVR H15 PB BAN'!H35</f>
        <v>3.1252369708208404E-2</v>
      </c>
      <c r="I23" s="111">
        <f>'IVR H15 PB PAR'!G35</f>
        <v>5.7594896886532354E-2</v>
      </c>
      <c r="J23" s="111">
        <f>'IVR H15 PB PAR'!H35</f>
        <v>4.9399373900884544E-2</v>
      </c>
      <c r="K23" s="111">
        <f>'ROM H15 PB BAN'!G35</f>
        <v>6.8373170112447281E-3</v>
      </c>
      <c r="L23" s="111">
        <f>'ROM H15 PB BAN'!H35</f>
        <v>6.6155993787452641E-3</v>
      </c>
      <c r="M23" s="111">
        <f>'ROM H15 PB PAR'!G35</f>
        <v>1.9382190864863619E-2</v>
      </c>
      <c r="N23" s="111">
        <f>'ROM H15 PB PAR'!H35</f>
        <v>1.7592202471774246E-2</v>
      </c>
      <c r="O23" s="111">
        <f>'STO H15 PB BAN'!G35</f>
        <v>3.1360908906817878E-2</v>
      </c>
      <c r="P23" s="111">
        <f>'STO H15 PB BAN'!H35</f>
        <v>2.8457244876337856E-2</v>
      </c>
      <c r="Q23" s="111">
        <f>'STO H15 PB PAR '!G35</f>
        <v>2.3914647289171059E-2</v>
      </c>
      <c r="R23" s="111">
        <f>'STO H15 PB PAR '!H35</f>
        <v>2.2238826442260006E-2</v>
      </c>
      <c r="S23" s="62">
        <f t="shared" si="0"/>
        <v>3.169244441885985E-2</v>
      </c>
      <c r="T23" s="62">
        <f t="shared" si="1"/>
        <v>2.833245215003535E-2</v>
      </c>
      <c r="U23" s="62">
        <f t="shared" si="2"/>
        <v>2.8917798569587184E-2</v>
      </c>
      <c r="V23" s="62">
        <f>AVERAGE(F23,J23,N23,R23)</f>
        <v>2.5658001803744022E-2</v>
      </c>
      <c r="W23" s="62">
        <f>AVERAGE(C23,G23,K23,O23)</f>
        <v>3.4467090268132501E-2</v>
      </c>
      <c r="X23" s="62">
        <f t="shared" si="4"/>
        <v>3.1006902496326677E-2</v>
      </c>
      <c r="Y23" s="234">
        <f t="shared" si="5"/>
        <v>0</v>
      </c>
      <c r="Z23" s="234">
        <f t="shared" si="6"/>
        <v>0</v>
      </c>
    </row>
    <row r="24" spans="1:26" x14ac:dyDescent="0.25">
      <c r="A24" s="551" t="s">
        <v>47</v>
      </c>
      <c r="B24" s="204" t="s">
        <v>48</v>
      </c>
      <c r="C24" s="176">
        <f>'ISS H15 PB BAN'!G36</f>
        <v>6.4904887065176636E-2</v>
      </c>
      <c r="D24" s="96">
        <f>'ISS H15 PB BAN'!H36</f>
        <v>5.837223138793602E-2</v>
      </c>
      <c r="E24" s="96">
        <f>'ISS H15 PB PAR'!G36</f>
        <v>4.6535500312207469E-2</v>
      </c>
      <c r="F24" s="96">
        <f>'ISS H15 PB PAR'!H36</f>
        <v>4.3779911285392589E-2</v>
      </c>
      <c r="G24" s="96">
        <f>'IVR H15 PB BAN'!G36</f>
        <v>2.1485472028935915E-2</v>
      </c>
      <c r="H24" s="96">
        <f>'IVR H15 PB BAN'!H36</f>
        <v>2.0980556900908335E-2</v>
      </c>
      <c r="I24" s="96">
        <f>'IVR H15 PB PAR'!G36</f>
        <v>7.067596374601709E-2</v>
      </c>
      <c r="J24" s="96">
        <f>'IVR H15 PB PAR'!H36</f>
        <v>6.2475912950961082E-2</v>
      </c>
      <c r="K24" s="96">
        <f>'ROM H15 PB BAN'!G36</f>
        <v>0.17090225320480593</v>
      </c>
      <c r="L24" s="96">
        <f>'ROM H15 PB BAN'!H36</f>
        <v>0.17017823463710463</v>
      </c>
      <c r="M24" s="96">
        <f>'ROM H15 PB PAR'!G36</f>
        <v>0.15598977870714739</v>
      </c>
      <c r="N24" s="96">
        <f>'ROM H15 PB PAR'!H36</f>
        <v>0.14589638093724752</v>
      </c>
      <c r="O24" s="96">
        <f>'STO H15 PB BAN'!G36</f>
        <v>8.2865273322178124E-3</v>
      </c>
      <c r="P24" s="96">
        <f>'STO H15 PB BAN'!H36</f>
        <v>7.8679964124542846E-3</v>
      </c>
      <c r="Q24" s="96">
        <f>'STO H15 PB PAR '!G36</f>
        <v>6.1518310653870437E-2</v>
      </c>
      <c r="R24" s="96">
        <f>'STO H15 PB PAR '!H36</f>
        <v>5.9129594946214038E-2</v>
      </c>
      <c r="S24" s="60">
        <f t="shared" si="0"/>
        <v>7.503733663129733E-2</v>
      </c>
      <c r="T24" s="60">
        <f t="shared" si="1"/>
        <v>7.1085102432277322E-2</v>
      </c>
      <c r="U24" s="60">
        <f t="shared" si="2"/>
        <v>8.3679888354810592E-2</v>
      </c>
      <c r="V24" s="60">
        <f t="shared" si="7"/>
        <v>7.7820450029953817E-2</v>
      </c>
      <c r="W24" s="60">
        <f t="shared" si="3"/>
        <v>6.6394784907784068E-2</v>
      </c>
      <c r="X24" s="60">
        <f t="shared" si="4"/>
        <v>6.4349754834600814E-2</v>
      </c>
      <c r="Y24" s="234">
        <f t="shared" si="5"/>
        <v>0</v>
      </c>
      <c r="Z24" s="234">
        <f t="shared" si="6"/>
        <v>0</v>
      </c>
    </row>
    <row r="25" spans="1:26" x14ac:dyDescent="0.25">
      <c r="A25" s="551"/>
      <c r="B25" s="204" t="s">
        <v>49</v>
      </c>
      <c r="C25" s="176">
        <f>'ISS H15 PB BAN'!G37</f>
        <v>4.2842103425329119E-2</v>
      </c>
      <c r="D25" s="96">
        <f>'ISS H15 PB BAN'!H37</f>
        <v>3.8091092242194584E-2</v>
      </c>
      <c r="E25" s="96">
        <f>'ISS H15 PB PAR'!G37</f>
        <v>7.5611206135431069E-2</v>
      </c>
      <c r="F25" s="96">
        <f>'ISS H15 PB PAR'!H37</f>
        <v>7.0158841142685682E-2</v>
      </c>
      <c r="G25" s="96">
        <f>'IVR H15 PB BAN'!G37</f>
        <v>2.3694609183424906E-2</v>
      </c>
      <c r="H25" s="96">
        <f>'IVR H15 PB BAN'!H37</f>
        <v>2.2587786761815463E-2</v>
      </c>
      <c r="I25" s="96">
        <f>'IVR H15 PB PAR'!G37</f>
        <v>2.7359087811556625E-2</v>
      </c>
      <c r="J25" s="96">
        <f>'IVR H15 PB PAR'!H37</f>
        <v>2.3919685679747699E-2</v>
      </c>
      <c r="K25" s="96">
        <f>'ROM H15 PB BAN'!G37</f>
        <v>4.93437027671325E-2</v>
      </c>
      <c r="L25" s="96">
        <f>'ROM H15 PB BAN'!H37</f>
        <v>4.8803926356839049E-2</v>
      </c>
      <c r="M25" s="96">
        <f>'ROM H15 PB PAR'!G37</f>
        <v>4.1654251422875627E-2</v>
      </c>
      <c r="N25" s="96">
        <f>'ROM H15 PB PAR'!H37</f>
        <v>3.8640804392687945E-2</v>
      </c>
      <c r="O25" s="96">
        <f>'STO H15 PB BAN'!G37</f>
        <v>3.5464205399298718E-2</v>
      </c>
      <c r="P25" s="96">
        <f>'STO H15 PB BAN'!H37</f>
        <v>3.2948839661280434E-2</v>
      </c>
      <c r="Q25" s="96">
        <f>'STO H15 PB PAR '!G37</f>
        <v>2.8719401275945904E-2</v>
      </c>
      <c r="R25" s="96">
        <f>'STO H15 PB PAR '!H37</f>
        <v>2.7202721449218155E-2</v>
      </c>
      <c r="S25" s="60">
        <f t="shared" si="0"/>
        <v>4.0586070927624306E-2</v>
      </c>
      <c r="T25" s="60">
        <f t="shared" si="1"/>
        <v>3.7794212210808628E-2</v>
      </c>
      <c r="U25" s="60">
        <f t="shared" si="2"/>
        <v>4.333598666145231E-2</v>
      </c>
      <c r="V25" s="60">
        <f t="shared" si="7"/>
        <v>3.998051316608487E-2</v>
      </c>
      <c r="W25" s="60">
        <f t="shared" si="3"/>
        <v>3.7836155193796309E-2</v>
      </c>
      <c r="X25" s="60">
        <f t="shared" si="4"/>
        <v>3.5607911255532379E-2</v>
      </c>
      <c r="Y25" s="234">
        <f t="shared" si="5"/>
        <v>0</v>
      </c>
      <c r="Z25" s="234">
        <f t="shared" si="6"/>
        <v>0</v>
      </c>
    </row>
    <row r="26" spans="1:26" x14ac:dyDescent="0.25">
      <c r="A26" s="552" t="s">
        <v>50</v>
      </c>
      <c r="B26" s="182" t="s">
        <v>51</v>
      </c>
      <c r="C26" s="174">
        <f>'ISS H15 PB BAN'!G38</f>
        <v>6.4366445323573482E-2</v>
      </c>
      <c r="D26" s="111">
        <f>'ISS H15 PB BAN'!H38</f>
        <v>6.4261573534877214E-2</v>
      </c>
      <c r="E26" s="111">
        <f>'ISS H15 PB PAR'!G38</f>
        <v>7.1614333418273293E-2</v>
      </c>
      <c r="F26" s="111">
        <f>'ISS H15 PB PAR'!H38</f>
        <v>7.4831418940348837E-2</v>
      </c>
      <c r="G26" s="111">
        <f>'IVR H15 PB BAN'!G38</f>
        <v>4.0249852653019044E-2</v>
      </c>
      <c r="H26" s="111">
        <f>'IVR H15 PB BAN'!H38</f>
        <v>4.3462282895459899E-2</v>
      </c>
      <c r="I26" s="111">
        <f>'IVR H15 PB PAR'!G38</f>
        <v>5.7022816181494719E-2</v>
      </c>
      <c r="J26" s="111">
        <f>'IVR H15 PB PAR'!H38</f>
        <v>5.6211112604807628E-2</v>
      </c>
      <c r="K26" s="111">
        <f>'ROM H15 PB BAN'!G38</f>
        <v>5.2482478576406692E-2</v>
      </c>
      <c r="L26" s="111">
        <f>'ROM H15 PB BAN'!H38</f>
        <v>5.9085151031911864E-2</v>
      </c>
      <c r="M26" s="111">
        <f>'ROM H15 PB PAR'!G38</f>
        <v>5.5630268719083803E-2</v>
      </c>
      <c r="N26" s="111">
        <f>'ROM H15 PB PAR'!H38</f>
        <v>5.8214810358822706E-2</v>
      </c>
      <c r="O26" s="111">
        <f>'STO H15 PB BAN'!G38</f>
        <v>8.9872851098297943E-2</v>
      </c>
      <c r="P26" s="111">
        <f>'STO H15 PB BAN'!H38</f>
        <v>9.268081343673211E-2</v>
      </c>
      <c r="Q26" s="111">
        <f>'STO H15 PB PAR '!G38</f>
        <v>0.11407605730819109</v>
      </c>
      <c r="R26" s="111">
        <f>'STO H15 PB PAR '!H38</f>
        <v>0.12221282249113256</v>
      </c>
      <c r="S26" s="62">
        <f t="shared" si="0"/>
        <v>6.8164387909792512E-2</v>
      </c>
      <c r="T26" s="62">
        <f t="shared" si="1"/>
        <v>7.1369998161761608E-2</v>
      </c>
      <c r="U26" s="62">
        <f t="shared" si="2"/>
        <v>7.4585868906760722E-2</v>
      </c>
      <c r="V26" s="62">
        <f t="shared" si="7"/>
        <v>7.7867541098777929E-2</v>
      </c>
      <c r="W26" s="62">
        <f t="shared" si="3"/>
        <v>6.1742906912824289E-2</v>
      </c>
      <c r="X26" s="62">
        <f t="shared" si="4"/>
        <v>6.4872455224745273E-2</v>
      </c>
      <c r="Y26" s="234">
        <f t="shared" si="5"/>
        <v>0</v>
      </c>
      <c r="Z26" s="234">
        <f t="shared" si="6"/>
        <v>0</v>
      </c>
    </row>
    <row r="27" spans="1:26" x14ac:dyDescent="0.25">
      <c r="A27" s="552"/>
      <c r="B27" s="182" t="s">
        <v>52</v>
      </c>
      <c r="C27" s="174">
        <f>'ISS H15 PB BAN'!G39</f>
        <v>2.0151582012473995E-2</v>
      </c>
      <c r="D27" s="111">
        <f>'ISS H15 PB BAN'!H39</f>
        <v>1.7985251440335723E-2</v>
      </c>
      <c r="E27" s="111">
        <f>'ISS H15 PB PAR'!G39</f>
        <v>2.3035547668976381E-2</v>
      </c>
      <c r="F27" s="111">
        <f>'ISS H15 PB PAR'!H39</f>
        <v>2.1513919122054838E-2</v>
      </c>
      <c r="G27" s="111">
        <f>'IVR H15 PB BAN'!G39</f>
        <v>1.7328156791042295E-2</v>
      </c>
      <c r="H27" s="111">
        <f>'IVR H15 PB BAN'!H39</f>
        <v>1.671052999571436E-2</v>
      </c>
      <c r="I27" s="111">
        <f>'IVR H15 PB PAR'!G39</f>
        <v>2.0307905161881325E-2</v>
      </c>
      <c r="J27" s="111">
        <f>'IVR H15 PB PAR'!H39</f>
        <v>1.7896526866389938E-2</v>
      </c>
      <c r="K27" s="111">
        <f>'ROM H15 PB BAN'!G39</f>
        <v>2.6360093583912839E-2</v>
      </c>
      <c r="L27" s="111">
        <f>'ROM H15 PB BAN'!H39</f>
        <v>2.6538922362141525E-2</v>
      </c>
      <c r="M27" s="111">
        <f>'ROM H15 PB PAR'!G39</f>
        <v>2.0501779813877762E-2</v>
      </c>
      <c r="N27" s="111">
        <f>'ROM H15 PB PAR'!H39</f>
        <v>1.9183954058643777E-2</v>
      </c>
      <c r="O27" s="111">
        <f>'STO H15 PB BAN'!G39</f>
        <v>8.9792916751041865E-3</v>
      </c>
      <c r="P27" s="111">
        <f>'STO H15 PB BAN'!H39</f>
        <v>8.2712663655093912E-3</v>
      </c>
      <c r="Q27" s="111">
        <f>'STO H15 PB PAR '!G39</f>
        <v>2.2130072345795223E-2</v>
      </c>
      <c r="R27" s="111">
        <f>'STO H15 PB PAR '!H39</f>
        <v>2.1189147802730072E-2</v>
      </c>
      <c r="S27" s="62">
        <f t="shared" si="0"/>
        <v>1.9849303631633002E-2</v>
      </c>
      <c r="T27" s="62">
        <f t="shared" si="1"/>
        <v>1.8661189751689952E-2</v>
      </c>
      <c r="U27" s="62">
        <f t="shared" si="2"/>
        <v>2.1493826247632672E-2</v>
      </c>
      <c r="V27" s="62">
        <f t="shared" si="7"/>
        <v>1.9945886962454654E-2</v>
      </c>
      <c r="W27" s="62">
        <f t="shared" si="3"/>
        <v>1.8204781015633328E-2</v>
      </c>
      <c r="X27" s="62">
        <f t="shared" si="4"/>
        <v>1.7376492540925249E-2</v>
      </c>
      <c r="Y27" s="234">
        <f t="shared" si="5"/>
        <v>0</v>
      </c>
      <c r="Z27" s="234">
        <f t="shared" si="6"/>
        <v>0</v>
      </c>
    </row>
    <row r="28" spans="1:26" x14ac:dyDescent="0.25">
      <c r="A28" s="552"/>
      <c r="B28" s="182" t="s">
        <v>53</v>
      </c>
      <c r="C28" s="174">
        <f>'ISS H15 PB BAN'!G40</f>
        <v>8.4671296643682066E-3</v>
      </c>
      <c r="D28" s="111">
        <f>'ISS H15 PB BAN'!H40</f>
        <v>7.5558460330739678E-3</v>
      </c>
      <c r="E28" s="111">
        <f>'ISS H15 PB PAR'!G40</f>
        <v>1.0854923744028086E-2</v>
      </c>
      <c r="F28" s="111">
        <f>'ISS H15 PB PAR'!H40</f>
        <v>1.0136190590765412E-2</v>
      </c>
      <c r="G28" s="111">
        <f>'IVR H15 PB BAN'!G40</f>
        <v>1.0987325834729786E-2</v>
      </c>
      <c r="H28" s="111">
        <f>'IVR H15 PB BAN'!H40</f>
        <v>1.0592573407706632E-2</v>
      </c>
      <c r="I28" s="111">
        <f>'IVR H15 PB PAR'!G40</f>
        <v>7.5743101400201161E-3</v>
      </c>
      <c r="J28" s="111">
        <f>'IVR H15 PB PAR'!H40</f>
        <v>6.6740361942795364E-3</v>
      </c>
      <c r="K28" s="111">
        <f>'ROM H15 PB BAN'!G40</f>
        <v>1.8274593467188557E-2</v>
      </c>
      <c r="L28" s="111">
        <f>'ROM H15 PB BAN'!H40</f>
        <v>1.8397065605974931E-2</v>
      </c>
      <c r="M28" s="111">
        <f>'ROM H15 PB PAR'!G40</f>
        <v>9.4843594532326592E-3</v>
      </c>
      <c r="N28" s="111">
        <f>'ROM H15 PB PAR'!H40</f>
        <v>8.8738360961858401E-3</v>
      </c>
      <c r="O28" s="111">
        <f>'STO H15 PB BAN'!G40</f>
        <v>3.3305978023383462E-3</v>
      </c>
      <c r="P28" s="111">
        <f>'STO H15 PB BAN'!H40</f>
        <v>3.0671593587698275E-3</v>
      </c>
      <c r="Q28" s="111">
        <f>'STO H15 PB PAR '!G40</f>
        <v>1.8527346260673358E-2</v>
      </c>
      <c r="R28" s="111">
        <f>'STO H15 PB PAR '!H40</f>
        <v>1.7736434608227835E-2</v>
      </c>
      <c r="S28" s="62">
        <f t="shared" si="0"/>
        <v>1.0937573295822388E-2</v>
      </c>
      <c r="T28" s="62">
        <f t="shared" si="1"/>
        <v>1.0379142736872998E-2</v>
      </c>
      <c r="U28" s="62">
        <f t="shared" si="2"/>
        <v>1.1610234899488555E-2</v>
      </c>
      <c r="V28" s="62">
        <f t="shared" si="7"/>
        <v>1.0855124372364657E-2</v>
      </c>
      <c r="W28" s="62">
        <f t="shared" si="3"/>
        <v>1.0264911692156225E-2</v>
      </c>
      <c r="X28" s="62">
        <f t="shared" si="4"/>
        <v>9.9031611013813397E-3</v>
      </c>
      <c r="Y28" s="234">
        <f t="shared" si="5"/>
        <v>0</v>
      </c>
      <c r="Z28" s="234">
        <f t="shared" si="6"/>
        <v>0</v>
      </c>
    </row>
    <row r="29" spans="1:26" x14ac:dyDescent="0.25">
      <c r="A29" s="552"/>
      <c r="B29" s="182" t="s">
        <v>54</v>
      </c>
      <c r="C29" s="174">
        <f>'ISS H15 PB BAN'!G41</f>
        <v>5.1501152918387555E-2</v>
      </c>
      <c r="D29" s="111">
        <f>'ISS H15 PB BAN'!H41</f>
        <v>5.1394590848208438E-2</v>
      </c>
      <c r="E29" s="111">
        <f>'ISS H15 PB PAR'!G41</f>
        <v>3.9413659543989996E-2</v>
      </c>
      <c r="F29" s="111">
        <f>'ISS H15 PB PAR'!H41</f>
        <v>4.1162319235865608E-2</v>
      </c>
      <c r="G29" s="111">
        <f>'IVR H15 PB BAN'!G41</f>
        <v>2.7710057580856283E-2</v>
      </c>
      <c r="H29" s="111">
        <f>'IVR H15 PB BAN'!H41</f>
        <v>2.9893707513334644E-2</v>
      </c>
      <c r="I29" s="111">
        <f>'IVR H15 PB PAR'!G41</f>
        <v>2.9705002648992816E-2</v>
      </c>
      <c r="J29" s="111">
        <f>'IVR H15 PB PAR'!H41</f>
        <v>2.9269755073216767E-2</v>
      </c>
      <c r="K29" s="111">
        <f>'ROM H15 PB BAN'!G41</f>
        <v>4.2265269155989653E-2</v>
      </c>
      <c r="L29" s="111">
        <f>'ROM H15 PB BAN'!H41</f>
        <v>4.7570232721020102E-2</v>
      </c>
      <c r="M29" s="111">
        <f>'ROM H15 PB PAR'!G41</f>
        <v>3.3129856355629352E-2</v>
      </c>
      <c r="N29" s="111">
        <f>'ROM H15 PB PAR'!H41</f>
        <v>3.4658141857525429E-2</v>
      </c>
      <c r="O29" s="111">
        <f>'STO H15 PB BAN'!G41</f>
        <v>6.3734319545546606E-2</v>
      </c>
      <c r="P29" s="111">
        <f>'STO H15 PB BAN'!H41</f>
        <v>6.5670233802383682E-2</v>
      </c>
      <c r="Q29" s="111">
        <f>'STO H15 PB PAR '!G41</f>
        <v>3.2444680485118997E-2</v>
      </c>
      <c r="R29" s="111">
        <f>'STO H15 PB PAR '!H41</f>
        <v>3.4739249106315741E-2</v>
      </c>
      <c r="S29" s="62">
        <f t="shared" si="0"/>
        <v>3.9987999779313908E-2</v>
      </c>
      <c r="T29" s="62">
        <f t="shared" si="1"/>
        <v>4.1794778769733802E-2</v>
      </c>
      <c r="U29" s="62">
        <f>AVERAGE(E29,I29,M29,Q29)</f>
        <v>3.3673299758432793E-2</v>
      </c>
      <c r="V29" s="62">
        <f t="shared" si="7"/>
        <v>3.495736631823089E-2</v>
      </c>
      <c r="W29" s="62">
        <f t="shared" si="3"/>
        <v>4.6302699800195024E-2</v>
      </c>
      <c r="X29" s="62">
        <f t="shared" si="4"/>
        <v>4.8632191221236715E-2</v>
      </c>
      <c r="Y29" s="234">
        <f t="shared" si="5"/>
        <v>0</v>
      </c>
      <c r="Z29" s="234">
        <f t="shared" si="6"/>
        <v>0</v>
      </c>
    </row>
    <row r="30" spans="1:26" x14ac:dyDescent="0.25">
      <c r="A30" s="552"/>
      <c r="B30" s="182" t="s">
        <v>55</v>
      </c>
      <c r="C30" s="174">
        <f>'ISS H15 PB BAN'!G42</f>
        <v>5.274729902828592E-2</v>
      </c>
      <c r="D30" s="111">
        <f>'ISS H15 PB BAN'!H42</f>
        <v>5.2642870297716901E-2</v>
      </c>
      <c r="E30" s="111">
        <f>'ISS H15 PB PAR'!G42</f>
        <v>2.8884253305280629E-2</v>
      </c>
      <c r="F30" s="111">
        <f>'ISS H15 PB PAR'!H42</f>
        <v>3.0169015333680063E-2</v>
      </c>
      <c r="G30" s="111">
        <f>'IVR H15 PB BAN'!G42</f>
        <v>3.7348936724637218E-2</v>
      </c>
      <c r="H30" s="111">
        <f>'IVR H15 PB BAN'!H42</f>
        <v>4.0299815691481278E-2</v>
      </c>
      <c r="I30" s="111">
        <f>'IVR H15 PB PAR'!G42</f>
        <v>4.7973190532006736E-2</v>
      </c>
      <c r="J30" s="111">
        <f>'IVR H15 PB PAR'!H42</f>
        <v>4.7274340301295271E-2</v>
      </c>
      <c r="K30" s="111">
        <f>'ROM H15 PB BAN'!G42</f>
        <v>1.6536509142834749E-2</v>
      </c>
      <c r="L30" s="111">
        <f>'ROM H15 PB BAN'!H42</f>
        <v>1.8613082306690246E-2</v>
      </c>
      <c r="M30" s="111">
        <f>'ROM H15 PB PAR'!G42</f>
        <v>3.0380766659040177E-2</v>
      </c>
      <c r="N30" s="111">
        <f>'ROM H15 PB PAR'!H42</f>
        <v>3.1784266907333596E-2</v>
      </c>
      <c r="O30" s="111">
        <f>'STO H15 PB BAN'!G42</f>
        <v>2.5285898515352744E-2</v>
      </c>
      <c r="P30" s="111">
        <f>'STO H15 PB BAN'!H42</f>
        <v>2.6058414007853924E-2</v>
      </c>
      <c r="Q30" s="111">
        <f>'STO H15 PB PAR '!G42</f>
        <v>2.3543630297180422E-2</v>
      </c>
      <c r="R30" s="111">
        <f>'STO H15 PB PAR '!H42</f>
        <v>2.5211587616822434E-2</v>
      </c>
      <c r="S30" s="62">
        <f t="shared" si="0"/>
        <v>3.2837560525577326E-2</v>
      </c>
      <c r="T30" s="62">
        <f t="shared" si="1"/>
        <v>3.4006674057859218E-2</v>
      </c>
      <c r="U30" s="62">
        <f t="shared" si="2"/>
        <v>3.2695460198376991E-2</v>
      </c>
      <c r="V30" s="62">
        <f t="shared" si="7"/>
        <v>3.3609802539782845E-2</v>
      </c>
      <c r="W30" s="62">
        <f t="shared" si="3"/>
        <v>3.2979660852777655E-2</v>
      </c>
      <c r="X30" s="62">
        <f t="shared" si="4"/>
        <v>3.4403545575935585E-2</v>
      </c>
      <c r="Y30" s="234">
        <f t="shared" si="5"/>
        <v>0</v>
      </c>
      <c r="Z30" s="234">
        <f t="shared" si="6"/>
        <v>0</v>
      </c>
    </row>
    <row r="31" spans="1:26" x14ac:dyDescent="0.25">
      <c r="A31" s="206" t="s">
        <v>127</v>
      </c>
      <c r="B31" s="204" t="s">
        <v>56</v>
      </c>
      <c r="C31" s="176">
        <f>'ISS H15 PB BAN'!G43</f>
        <v>3.1894676530457342E-2</v>
      </c>
      <c r="D31" s="96">
        <f>'ISS H15 PB BAN'!H43</f>
        <v>2.8372681426248443E-2</v>
      </c>
      <c r="E31" s="96">
        <f>'ISS H15 PB PAR'!G43</f>
        <v>1.9603869790683084E-2</v>
      </c>
      <c r="F31" s="96">
        <f>'ISS H15 PB PAR'!H43</f>
        <v>1.8153479123607305E-2</v>
      </c>
      <c r="G31" s="96">
        <f>'IVR H15 PB BAN'!G43</f>
        <v>9.2700728056829482E-2</v>
      </c>
      <c r="H31" s="96">
        <f>'IVR H15 PB BAN'!H43</f>
        <v>8.8507146924422811E-2</v>
      </c>
      <c r="I31" s="96">
        <f>'IVR H15 PB PAR'!G43</f>
        <v>2.1283129987918623E-2</v>
      </c>
      <c r="J31" s="96">
        <f>'IVR H15 PB PAR'!H43</f>
        <v>1.8641516941560111E-2</v>
      </c>
      <c r="K31" s="96">
        <f>'ROM H15 PB BAN'!G43</f>
        <v>6.1321148567017633E-2</v>
      </c>
      <c r="L31" s="96">
        <f>'ROM H15 PB BAN'!H43</f>
        <v>6.0590294211868879E-2</v>
      </c>
      <c r="M31" s="96">
        <f>'ROM H15 PB PAR'!G43</f>
        <v>4.989708649700348E-2</v>
      </c>
      <c r="N31" s="96">
        <f>'ROM H15 PB PAR'!H43</f>
        <v>4.6250044687314126E-2</v>
      </c>
      <c r="O31" s="96">
        <f>'STO H15 PB BAN'!G43</f>
        <v>3.1094461082630805E-2</v>
      </c>
      <c r="P31" s="96">
        <f>'STO H15 PB BAN'!H43</f>
        <v>2.8813876890007237E-2</v>
      </c>
      <c r="Q31" s="96">
        <f>'STO H15 PB PAR '!G43</f>
        <v>3.0378065475433522E-2</v>
      </c>
      <c r="R31" s="96">
        <f>'STO H15 PB PAR '!H43</f>
        <v>2.8848871580175076E-2</v>
      </c>
      <c r="S31" s="60">
        <f t="shared" si="0"/>
        <v>4.2271645748496747E-2</v>
      </c>
      <c r="T31" s="60">
        <f t="shared" si="1"/>
        <v>3.9772238973150499E-2</v>
      </c>
      <c r="U31" s="60">
        <f t="shared" si="2"/>
        <v>3.0290537937759678E-2</v>
      </c>
      <c r="V31" s="60">
        <f t="shared" si="7"/>
        <v>2.7973478083164152E-2</v>
      </c>
      <c r="W31" s="60">
        <f t="shared" si="3"/>
        <v>5.4252753559233813E-2</v>
      </c>
      <c r="X31" s="60">
        <f t="shared" si="4"/>
        <v>5.1570999863136846E-2</v>
      </c>
      <c r="Y31" s="234">
        <f t="shared" si="5"/>
        <v>0</v>
      </c>
      <c r="Z31" s="234">
        <f t="shared" si="6"/>
        <v>0</v>
      </c>
    </row>
    <row r="32" spans="1:26" x14ac:dyDescent="0.25">
      <c r="A32" s="552" t="s">
        <v>57</v>
      </c>
      <c r="B32" s="182" t="s">
        <v>58</v>
      </c>
      <c r="C32" s="174">
        <f>'ISS H15 PB BAN'!G44</f>
        <v>8.1985751818606956E-2</v>
      </c>
      <c r="D32" s="111">
        <f>'ISS H15 PB BAN'!H44</f>
        <v>7.1342468416261462E-2</v>
      </c>
      <c r="E32" s="111">
        <f>'ISS H15 PB PAR'!G44</f>
        <v>0.108448447575671</v>
      </c>
      <c r="F32" s="111">
        <f>'ISS H15 PB PAR'!H44</f>
        <v>9.8218586474996136E-2</v>
      </c>
      <c r="G32" s="111">
        <f>'IVR H15 PB BAN'!G44</f>
        <v>5.8353769591739518E-2</v>
      </c>
      <c r="H32" s="111">
        <f>'IVR H15 PB BAN'!H44</f>
        <v>5.4462343329056549E-2</v>
      </c>
      <c r="I32" s="111">
        <f>'IVR H15 PB PAR'!G44</f>
        <v>0.11659119952701594</v>
      </c>
      <c r="J32" s="111">
        <f>'IVR H15 PB PAR'!H44</f>
        <v>9.9898744135986484E-2</v>
      </c>
      <c r="K32" s="111">
        <f>'ROM H15 PB BAN'!G44</f>
        <v>9.385058950026666E-2</v>
      </c>
      <c r="L32" s="111">
        <f>'ROM H15 PB BAN'!H44</f>
        <v>9.0713105970750676E-2</v>
      </c>
      <c r="M32" s="111">
        <f>'ROM H15 PB PAR'!G44</f>
        <v>9.4321489190756683E-2</v>
      </c>
      <c r="N32" s="111">
        <f>'ROM H15 PB PAR'!H44</f>
        <v>8.550696562362381E-2</v>
      </c>
      <c r="O32" s="111">
        <f>'STO H15 PB BAN'!G44</f>
        <v>2.2461551578969823E-2</v>
      </c>
      <c r="P32" s="111">
        <f>'STO H15 PB BAN'!H44</f>
        <v>2.035895791838312E-2</v>
      </c>
      <c r="Q32" s="111">
        <f>'STO H15 PB PAR '!G44</f>
        <v>5.6287138947794135E-2</v>
      </c>
      <c r="R32" s="111">
        <f>'STO H15 PB PAR '!H44</f>
        <v>5.2278321128055028E-2</v>
      </c>
      <c r="S32" s="62">
        <f t="shared" si="0"/>
        <v>7.9037492216352589E-2</v>
      </c>
      <c r="T32" s="62">
        <f t="shared" si="1"/>
        <v>7.159743662463916E-2</v>
      </c>
      <c r="U32" s="62">
        <f t="shared" si="2"/>
        <v>9.3912068810309432E-2</v>
      </c>
      <c r="V32" s="62">
        <f t="shared" si="7"/>
        <v>8.3975654340665368E-2</v>
      </c>
      <c r="W32" s="62">
        <f t="shared" si="3"/>
        <v>6.4162915622395747E-2</v>
      </c>
      <c r="X32" s="62">
        <f t="shared" si="4"/>
        <v>5.921921890861296E-2</v>
      </c>
      <c r="Y32" s="234">
        <f t="shared" si="5"/>
        <v>0</v>
      </c>
      <c r="Z32" s="234">
        <f t="shared" si="6"/>
        <v>0</v>
      </c>
    </row>
    <row r="33" spans="1:26" x14ac:dyDescent="0.25">
      <c r="A33" s="552"/>
      <c r="B33" s="182" t="s">
        <v>59</v>
      </c>
      <c r="C33" s="174">
        <f>'ISS H15 PB BAN'!G45</f>
        <v>1.1788408921979661E-2</v>
      </c>
      <c r="D33" s="111">
        <f>'ISS H15 PB BAN'!H45</f>
        <v>1.025805304627868E-2</v>
      </c>
      <c r="E33" s="111">
        <f>'ISS H15 PB PAR'!G45</f>
        <v>3.1298869822511455E-2</v>
      </c>
      <c r="F33" s="111">
        <f>'ISS H15 PB PAR'!H45</f>
        <v>2.8346470797444866E-2</v>
      </c>
      <c r="G33" s="111">
        <f>'IVR H15 PB BAN'!G45</f>
        <v>6.1069167344132294E-3</v>
      </c>
      <c r="H33" s="111">
        <f>'IVR H15 PB BAN'!H45</f>
        <v>5.6996659889930424E-3</v>
      </c>
      <c r="I33" s="111">
        <f>'IVR H15 PB PAR'!G45</f>
        <v>2.9937290452045021E-2</v>
      </c>
      <c r="J33" s="111">
        <f>'IVR H15 PB PAR'!H45</f>
        <v>2.5651144607192818E-2</v>
      </c>
      <c r="K33" s="111">
        <f>'ROM H15 PB BAN'!G45</f>
        <v>1.3674634022489457E-3</v>
      </c>
      <c r="L33" s="111">
        <f>'ROM H15 PB BAN'!H45</f>
        <v>1.3217482509151359E-3</v>
      </c>
      <c r="M33" s="111">
        <f>'ROM H15 PB PAR'!G45</f>
        <v>1.315417249739724E-2</v>
      </c>
      <c r="N33" s="111">
        <f>'ROM H15 PB PAR'!H45</f>
        <v>1.1924889918430054E-2</v>
      </c>
      <c r="O33" s="111">
        <f>'STO H15 PB BAN'!G45</f>
        <v>1.8358255086488973E-2</v>
      </c>
      <c r="P33" s="111">
        <f>'STO H15 PB BAN'!H45</f>
        <v>1.6639765131394979E-2</v>
      </c>
      <c r="Q33" s="111">
        <f>'STO H15 PB PAR '!G45</f>
        <v>1.3830036108683143E-2</v>
      </c>
      <c r="R33" s="111">
        <f>'STO H15 PB PAR '!H45</f>
        <v>1.2845049196281245E-2</v>
      </c>
      <c r="S33" s="62">
        <f t="shared" si="0"/>
        <v>1.5730176628220956E-2</v>
      </c>
      <c r="T33" s="62">
        <f t="shared" si="1"/>
        <v>1.4085848367116349E-2</v>
      </c>
      <c r="U33" s="62">
        <f t="shared" si="2"/>
        <v>2.2055092220159216E-2</v>
      </c>
      <c r="V33" s="62">
        <f t="shared" si="7"/>
        <v>1.9691888629837243E-2</v>
      </c>
      <c r="W33" s="62">
        <f t="shared" si="3"/>
        <v>9.4052610362827024E-3</v>
      </c>
      <c r="X33" s="62">
        <f t="shared" si="4"/>
        <v>8.4798081043954594E-3</v>
      </c>
      <c r="Y33" s="234">
        <f t="shared" si="5"/>
        <v>0</v>
      </c>
      <c r="Z33" s="234">
        <f t="shared" si="6"/>
        <v>0</v>
      </c>
    </row>
    <row r="34" spans="1:26" x14ac:dyDescent="0.25">
      <c r="A34" s="551" t="s">
        <v>60</v>
      </c>
      <c r="B34" s="204" t="s">
        <v>61</v>
      </c>
      <c r="C34" s="176">
        <f>'ISS H15 PB BAN'!G46</f>
        <v>3.5605126551801751E-2</v>
      </c>
      <c r="D34" s="96">
        <f>'ISS H15 PB BAN'!H46</f>
        <v>3.1989533131117048E-2</v>
      </c>
      <c r="E34" s="96">
        <f>'ISS H15 PB PAR'!G46</f>
        <v>1.377445408061994E-2</v>
      </c>
      <c r="F34" s="96">
        <f>'ISS H15 PB PAR'!H46</f>
        <v>1.2881459785656168E-2</v>
      </c>
      <c r="G34" s="96">
        <f>'IVR H15 PB BAN'!G46</f>
        <v>2.3921406339749176E-2</v>
      </c>
      <c r="H34" s="96">
        <f>'IVR H15 PB BAN'!H46</f>
        <v>2.3058761891343746E-2</v>
      </c>
      <c r="I34" s="96">
        <f>'IVR H15 PB PAR'!G46</f>
        <v>1.9348038207120194E-2</v>
      </c>
      <c r="J34" s="96">
        <f>'IVR H15 PB PAR'!H46</f>
        <v>1.7116192329408787E-2</v>
      </c>
      <c r="K34" s="96">
        <f>'ROM H15 PB BAN'!G46</f>
        <v>3.642735063124837E-2</v>
      </c>
      <c r="L34" s="96">
        <f>'ROM H15 PB BAN'!H46</f>
        <v>3.6353011065341383E-2</v>
      </c>
      <c r="M34" s="96">
        <f>'ROM H15 PB PAR'!G46</f>
        <v>4.0512492395663187E-2</v>
      </c>
      <c r="N34" s="96">
        <f>'ROM H15 PB PAR'!H46</f>
        <v>3.7922714616810474E-2</v>
      </c>
      <c r="O34" s="96">
        <f>'STO H15 PB BAN'!G46</f>
        <v>2.2354972449294991E-2</v>
      </c>
      <c r="P34" s="96">
        <f>'STO H15 PB BAN'!H46</f>
        <v>2.0921344459713966E-2</v>
      </c>
      <c r="Q34" s="96">
        <f>'STO H15 PB PAR '!G46</f>
        <v>2.6793806299415249E-2</v>
      </c>
      <c r="R34" s="96">
        <f>'STO H15 PB PAR '!H46</f>
        <v>2.5696333251600312E-2</v>
      </c>
      <c r="S34" s="60">
        <f t="shared" si="0"/>
        <v>2.7342205869364106E-2</v>
      </c>
      <c r="T34" s="60">
        <f t="shared" si="1"/>
        <v>2.5742418816373989E-2</v>
      </c>
      <c r="U34" s="60">
        <f t="shared" si="2"/>
        <v>2.5107197745704642E-2</v>
      </c>
      <c r="V34" s="60">
        <f t="shared" si="7"/>
        <v>2.3404174995868936E-2</v>
      </c>
      <c r="W34" s="60">
        <f t="shared" si="3"/>
        <v>2.9577213993023571E-2</v>
      </c>
      <c r="X34" s="60">
        <f t="shared" si="4"/>
        <v>2.8080662636879035E-2</v>
      </c>
      <c r="Y34" s="234">
        <f t="shared" si="5"/>
        <v>0</v>
      </c>
      <c r="Z34" s="234">
        <f t="shared" si="6"/>
        <v>0</v>
      </c>
    </row>
    <row r="35" spans="1:26" x14ac:dyDescent="0.25">
      <c r="A35" s="551"/>
      <c r="B35" s="204" t="s">
        <v>62</v>
      </c>
      <c r="C35" s="176">
        <f>'ISS H15 PB BAN'!G47</f>
        <v>9.5946586579233016E-3</v>
      </c>
      <c r="D35" s="96">
        <f>'ISS H15 PB BAN'!H47</f>
        <v>8.6203499536182601E-3</v>
      </c>
      <c r="E35" s="96">
        <f>'ISS H15 PB PAR'!G47</f>
        <v>6.0305131911267146E-3</v>
      </c>
      <c r="F35" s="96">
        <f>'ISS H15 PB PAR'!H47</f>
        <v>5.639556580878423E-3</v>
      </c>
      <c r="G35" s="96">
        <f>'IVR H15 PB BAN'!G47</f>
        <v>4.6408012259572511E-3</v>
      </c>
      <c r="H35" s="96">
        <f>'IVR H15 PB BAN'!H47</f>
        <v>4.4734464577272197E-3</v>
      </c>
      <c r="I35" s="96">
        <f>'IVR H15 PB PAR'!G47</f>
        <v>7.8296347499865818E-3</v>
      </c>
      <c r="J35" s="96">
        <f>'IVR H15 PB PAR'!H47</f>
        <v>6.9264662812416307E-3</v>
      </c>
      <c r="K35" s="96">
        <f>'ROM H15 PB BAN'!G47</f>
        <v>0</v>
      </c>
      <c r="L35" s="96">
        <f>'ROM H15 PB BAN'!H47</f>
        <v>0</v>
      </c>
      <c r="M35" s="96">
        <f>'ROM H15 PB PAR'!G47</f>
        <v>8.3858320785069121E-3</v>
      </c>
      <c r="N35" s="96">
        <f>'ROM H15 PB PAR'!H47</f>
        <v>7.8497643055838069E-3</v>
      </c>
      <c r="O35" s="96">
        <f>'STO H15 PB BAN'!G47</f>
        <v>1.3322391209353397E-4</v>
      </c>
      <c r="P35" s="96">
        <f>'STO H15 PB BAN'!H47</f>
        <v>1.2468024111867687E-4</v>
      </c>
      <c r="Q35" s="96">
        <f>'STO H15 PB PAR '!G47</f>
        <v>3.311452564260439E-3</v>
      </c>
      <c r="R35" s="96">
        <f>'STO H15 PB PAR '!H47</f>
        <v>3.1758156227306793E-3</v>
      </c>
      <c r="S35" s="60">
        <f t="shared" si="0"/>
        <v>4.9907645474818419E-3</v>
      </c>
      <c r="T35" s="60">
        <f t="shared" si="1"/>
        <v>4.6012599303623366E-3</v>
      </c>
      <c r="U35" s="60">
        <f t="shared" si="2"/>
        <v>6.3893581459701617E-3</v>
      </c>
      <c r="V35" s="60">
        <f t="shared" si="7"/>
        <v>5.8979006976086351E-3</v>
      </c>
      <c r="W35" s="60">
        <f t="shared" si="3"/>
        <v>3.5921709489935218E-3</v>
      </c>
      <c r="X35" s="60">
        <f t="shared" si="4"/>
        <v>3.3046191631160393E-3</v>
      </c>
      <c r="Y35" s="234">
        <f t="shared" si="5"/>
        <v>0</v>
      </c>
      <c r="Z35" s="234">
        <f t="shared" si="6"/>
        <v>0</v>
      </c>
    </row>
    <row r="36" spans="1:26" x14ac:dyDescent="0.25">
      <c r="A36" s="551"/>
      <c r="B36" s="204" t="s">
        <v>63</v>
      </c>
      <c r="C36" s="176">
        <f>'ISS H15 PB BAN'!G48</f>
        <v>0</v>
      </c>
      <c r="D36" s="96">
        <f>'ISS H15 PB BAN'!H48</f>
        <v>0</v>
      </c>
      <c r="E36" s="96">
        <f>'ISS H15 PB PAR'!G48</f>
        <v>0</v>
      </c>
      <c r="F36" s="96">
        <f>'ISS H15 PB PAR'!H48</f>
        <v>0</v>
      </c>
      <c r="G36" s="96">
        <f>'IVR H15 PB BAN'!G48</f>
        <v>0</v>
      </c>
      <c r="H36" s="96">
        <f>'IVR H15 PB BAN'!H48</f>
        <v>0</v>
      </c>
      <c r="I36" s="96">
        <f>'IVR H15 PB PAR'!G48</f>
        <v>0</v>
      </c>
      <c r="J36" s="96">
        <f>'IVR H15 PB PAR'!H48</f>
        <v>0</v>
      </c>
      <c r="K36" s="96">
        <f>'ROM H15 PB BAN'!G48</f>
        <v>0</v>
      </c>
      <c r="L36" s="96">
        <f>'ROM H15 PB BAN'!H48</f>
        <v>0</v>
      </c>
      <c r="M36" s="96">
        <f>'ROM H15 PB PAR'!G48</f>
        <v>0</v>
      </c>
      <c r="N36" s="96">
        <f>'ROM H15 PB PAR'!H48</f>
        <v>0</v>
      </c>
      <c r="O36" s="96">
        <f>'STO H15 PB BAN'!G48</f>
        <v>0</v>
      </c>
      <c r="P36" s="96">
        <f>'STO H15 PB BAN'!H48</f>
        <v>0</v>
      </c>
      <c r="Q36" s="96">
        <f>'STO H15 PB PAR '!G48</f>
        <v>0</v>
      </c>
      <c r="R36" s="96">
        <f>'STO H15 PB PAR '!H48</f>
        <v>0</v>
      </c>
      <c r="S36" s="60">
        <f t="shared" si="0"/>
        <v>0</v>
      </c>
      <c r="T36" s="60">
        <f t="shared" si="1"/>
        <v>0</v>
      </c>
      <c r="U36" s="60">
        <f t="shared" si="2"/>
        <v>0</v>
      </c>
      <c r="V36" s="60">
        <f t="shared" si="7"/>
        <v>0</v>
      </c>
      <c r="W36" s="60">
        <f t="shared" si="3"/>
        <v>0</v>
      </c>
      <c r="X36" s="60">
        <f t="shared" si="4"/>
        <v>0</v>
      </c>
      <c r="Y36" s="234">
        <f t="shared" si="5"/>
        <v>0</v>
      </c>
      <c r="Z36" s="234">
        <f t="shared" si="6"/>
        <v>0</v>
      </c>
    </row>
    <row r="37" spans="1:26" x14ac:dyDescent="0.25">
      <c r="A37" s="551"/>
      <c r="B37" s="204" t="s">
        <v>64</v>
      </c>
      <c r="C37" s="176">
        <f>'ISS H15 PB BAN'!G49</f>
        <v>0</v>
      </c>
      <c r="D37" s="96">
        <f>'ISS H15 PB BAN'!H49</f>
        <v>0</v>
      </c>
      <c r="E37" s="96">
        <f>'ISS H15 PB PAR'!G49</f>
        <v>0</v>
      </c>
      <c r="F37" s="96">
        <f>'ISS H15 PB PAR'!H49</f>
        <v>0</v>
      </c>
      <c r="G37" s="96">
        <f>'IVR H15 PB BAN'!G49</f>
        <v>0</v>
      </c>
      <c r="H37" s="96">
        <f>'IVR H15 PB BAN'!H49</f>
        <v>0</v>
      </c>
      <c r="I37" s="96">
        <f>'IVR H15 PB PAR'!G49</f>
        <v>0</v>
      </c>
      <c r="J37" s="96">
        <f>'IVR H15 PB PAR'!H49</f>
        <v>0</v>
      </c>
      <c r="K37" s="96">
        <f>'ROM H15 PB BAN'!G49</f>
        <v>0</v>
      </c>
      <c r="L37" s="96">
        <f>'ROM H15 PB BAN'!H49</f>
        <v>0</v>
      </c>
      <c r="M37" s="96">
        <f>'ROM H15 PB PAR'!G49</f>
        <v>0</v>
      </c>
      <c r="N37" s="96">
        <f>'ROM H15 PB PAR'!H49</f>
        <v>0</v>
      </c>
      <c r="O37" s="96">
        <f>'STO H15 PB BAN'!G49</f>
        <v>0</v>
      </c>
      <c r="P37" s="96">
        <f>'STO H15 PB BAN'!H49</f>
        <v>0</v>
      </c>
      <c r="Q37" s="96">
        <f>'STO H15 PB PAR '!G49</f>
        <v>0</v>
      </c>
      <c r="R37" s="96">
        <f>'STO H15 PB PAR '!H49</f>
        <v>0</v>
      </c>
      <c r="S37" s="60">
        <f t="shared" si="0"/>
        <v>0</v>
      </c>
      <c r="T37" s="60">
        <f t="shared" si="1"/>
        <v>0</v>
      </c>
      <c r="U37" s="60">
        <f t="shared" si="2"/>
        <v>0</v>
      </c>
      <c r="V37" s="60">
        <f t="shared" si="7"/>
        <v>0</v>
      </c>
      <c r="W37" s="60">
        <f t="shared" si="3"/>
        <v>0</v>
      </c>
      <c r="X37" s="60">
        <f t="shared" si="4"/>
        <v>0</v>
      </c>
      <c r="Y37" s="234">
        <f t="shared" si="5"/>
        <v>0</v>
      </c>
      <c r="Z37" s="234">
        <f t="shared" si="6"/>
        <v>0</v>
      </c>
    </row>
    <row r="38" spans="1:26" x14ac:dyDescent="0.25">
      <c r="A38" s="551"/>
      <c r="B38" s="204" t="s">
        <v>65</v>
      </c>
      <c r="C38" s="176">
        <f>'ISS H15 PB BAN'!G50</f>
        <v>0</v>
      </c>
      <c r="D38" s="96">
        <f>'ISS H15 PB BAN'!H50</f>
        <v>0</v>
      </c>
      <c r="E38" s="96">
        <f>'ISS H15 PB PAR'!G50</f>
        <v>1.8536654621393721E-3</v>
      </c>
      <c r="F38" s="96">
        <f>'ISS H15 PB PAR'!H50</f>
        <v>1.7334928097225482E-3</v>
      </c>
      <c r="G38" s="96">
        <f>'IVR H15 PB BAN'!G50</f>
        <v>0</v>
      </c>
      <c r="H38" s="96">
        <f>'IVR H15 PB BAN'!H50</f>
        <v>0</v>
      </c>
      <c r="I38" s="96">
        <f>'IVR H15 PB PAR'!G50</f>
        <v>6.5990853139828018E-3</v>
      </c>
      <c r="J38" s="96">
        <f>'IVR H15 PB PAR'!H50</f>
        <v>5.8378638817624352E-3</v>
      </c>
      <c r="K38" s="96">
        <f>'ROM H15 PB BAN'!G50</f>
        <v>0</v>
      </c>
      <c r="L38" s="96">
        <f>'ROM H15 PB BAN'!H50</f>
        <v>0</v>
      </c>
      <c r="M38" s="96">
        <f>'ROM H15 PB PAR'!G50</f>
        <v>0</v>
      </c>
      <c r="N38" s="96">
        <f>'ROM H15 PB PAR'!H50</f>
        <v>0</v>
      </c>
      <c r="O38" s="96">
        <f>'STO H15 PB BAN'!G50</f>
        <v>0</v>
      </c>
      <c r="P38" s="96">
        <f>'STO H15 PB BAN'!H50</f>
        <v>0</v>
      </c>
      <c r="Q38" s="96">
        <f>'STO H15 PB PAR '!G50</f>
        <v>0</v>
      </c>
      <c r="R38" s="96">
        <f>'STO H15 PB PAR '!H50</f>
        <v>0</v>
      </c>
      <c r="S38" s="60">
        <f t="shared" si="0"/>
        <v>1.0565938470152717E-3</v>
      </c>
      <c r="T38" s="60">
        <f t="shared" si="1"/>
        <v>9.4641958643562293E-4</v>
      </c>
      <c r="U38" s="60">
        <f t="shared" si="2"/>
        <v>2.1131876940305434E-3</v>
      </c>
      <c r="V38" s="60">
        <f t="shared" si="7"/>
        <v>1.8928391728712459E-3</v>
      </c>
      <c r="W38" s="60">
        <f t="shared" si="3"/>
        <v>0</v>
      </c>
      <c r="X38" s="60">
        <f t="shared" si="4"/>
        <v>0</v>
      </c>
      <c r="Y38" s="234">
        <f t="shared" si="5"/>
        <v>0</v>
      </c>
      <c r="Z38" s="234">
        <f t="shared" si="6"/>
        <v>0</v>
      </c>
    </row>
    <row r="39" spans="1:26" x14ac:dyDescent="0.25">
      <c r="A39" s="551"/>
      <c r="B39" s="204" t="s">
        <v>66</v>
      </c>
      <c r="C39" s="176">
        <f>'ISS H15 PB BAN'!G51</f>
        <v>3.2772976302032782E-3</v>
      </c>
      <c r="D39" s="96">
        <f>'ISS H15 PB BAN'!H51</f>
        <v>2.9444979213706494E-3</v>
      </c>
      <c r="E39" s="96">
        <f>'ISS H15 PB PAR'!G51</f>
        <v>3.2378141195701527E-3</v>
      </c>
      <c r="F39" s="96">
        <f>'ISS H15 PB PAR'!H51</f>
        <v>3.0279074677343246E-3</v>
      </c>
      <c r="G39" s="96">
        <f>'IVR H15 PB BAN'!G51</f>
        <v>9.4049649218816717E-3</v>
      </c>
      <c r="H39" s="96">
        <f>'IVR H15 PB BAN'!H51</f>
        <v>9.065806736025861E-3</v>
      </c>
      <c r="I39" s="96">
        <f>'IVR H15 PB PAR'!G51</f>
        <v>2.9995842336285449E-3</v>
      </c>
      <c r="J39" s="96">
        <f>'IVR H15 PB PAR'!H51</f>
        <v>2.6535744917101966E-3</v>
      </c>
      <c r="K39" s="96">
        <f>'ROM H15 PB BAN'!G51</f>
        <v>1.3674634022489457E-3</v>
      </c>
      <c r="L39" s="96">
        <f>'ROM H15 PB BAN'!H51</f>
        <v>1.3646727344140558E-3</v>
      </c>
      <c r="M39" s="96">
        <f>'ROM H15 PB PAR'!G51</f>
        <v>5.1645197162939428E-3</v>
      </c>
      <c r="N39" s="96">
        <f>'ROM H15 PB PAR'!H51</f>
        <v>4.8343756642055431E-3</v>
      </c>
      <c r="O39" s="96">
        <f>'STO H15 PB BAN'!G51</f>
        <v>0</v>
      </c>
      <c r="P39" s="96">
        <f>'STO H15 PB BAN'!H51</f>
        <v>0</v>
      </c>
      <c r="Q39" s="96">
        <f>'STO H15 PB PAR '!G51</f>
        <v>8.4779900884741281E-4</v>
      </c>
      <c r="R39" s="96">
        <f>'STO H15 PB PAR '!H51</f>
        <v>8.1307320125677729E-4</v>
      </c>
      <c r="S39" s="60">
        <f t="shared" si="0"/>
        <v>3.2874303790842441E-3</v>
      </c>
      <c r="T39" s="60">
        <f t="shared" si="1"/>
        <v>3.0879885270896756E-3</v>
      </c>
      <c r="U39" s="60">
        <f t="shared" si="2"/>
        <v>3.0624292695850134E-3</v>
      </c>
      <c r="V39" s="60">
        <f t="shared" si="7"/>
        <v>2.8322327062267104E-3</v>
      </c>
      <c r="W39" s="60">
        <f t="shared" si="3"/>
        <v>3.5124314885834739E-3</v>
      </c>
      <c r="X39" s="60">
        <f t="shared" si="4"/>
        <v>3.3437443479526416E-3</v>
      </c>
      <c r="Y39" s="234">
        <f t="shared" si="5"/>
        <v>0</v>
      </c>
      <c r="Z39" s="234">
        <f t="shared" si="6"/>
        <v>0</v>
      </c>
    </row>
    <row r="40" spans="1:26" ht="25.5" x14ac:dyDescent="0.25">
      <c r="A40" s="205" t="s">
        <v>67</v>
      </c>
      <c r="B40" s="182" t="s">
        <v>68</v>
      </c>
      <c r="C40" s="174">
        <f>'ISS H15 PB BAN'!G52</f>
        <v>2.4909594432085899E-4</v>
      </c>
      <c r="D40" s="111">
        <f>'ISS H15 PB BAN'!H52</f>
        <v>2.4748924606106642E-4</v>
      </c>
      <c r="E40" s="111">
        <f>'ISS H15 PB PAR'!G52</f>
        <v>3.421598891832317E-2</v>
      </c>
      <c r="F40" s="111">
        <f>'ISS H15 PB PAR'!H52</f>
        <v>3.538441267751026E-2</v>
      </c>
      <c r="G40" s="111">
        <f>'IVR H15 PB BAN'!G52</f>
        <v>5.4085902601913781E-2</v>
      </c>
      <c r="H40" s="111">
        <f>'IVR H15 PB BAN'!H52</f>
        <v>5.7652670582628518E-2</v>
      </c>
      <c r="I40" s="111">
        <f>'IVR H15 PB PAR'!G52</f>
        <v>1.2164393917687847E-2</v>
      </c>
      <c r="J40" s="111">
        <f>'IVR H15 PB PAR'!H52</f>
        <v>1.1900236398239538E-2</v>
      </c>
      <c r="K40" s="111">
        <f>'ROM H15 PB BAN'!G52</f>
        <v>2.6122384992493877E-3</v>
      </c>
      <c r="L40" s="111">
        <f>'ROM H15 PB BAN'!H52</f>
        <v>2.8828383449691413E-3</v>
      </c>
      <c r="M40" s="111">
        <f>'ROM H15 PB PAR'!G52</f>
        <v>4.2245305707642296E-2</v>
      </c>
      <c r="N40" s="111">
        <f>'ROM H15 PB PAR'!H52</f>
        <v>4.373016998137573E-2</v>
      </c>
      <c r="O40" s="111">
        <f>'STO H15 PB BAN'!G52</f>
        <v>1.3935221204983653E-2</v>
      </c>
      <c r="P40" s="111">
        <f>'STO H15 PB BAN'!H52</f>
        <v>1.442190987117512E-2</v>
      </c>
      <c r="Q40" s="111">
        <f>'STO H15 PB PAR '!G52</f>
        <v>0</v>
      </c>
      <c r="R40" s="111">
        <f>'STO H15 PB PAR '!H52</f>
        <v>0</v>
      </c>
      <c r="S40" s="62">
        <f t="shared" si="0"/>
        <v>1.9938518349265126E-2</v>
      </c>
      <c r="T40" s="62">
        <f t="shared" si="1"/>
        <v>2.0777465887744918E-2</v>
      </c>
      <c r="U40" s="62">
        <f t="shared" si="2"/>
        <v>2.2156422135913328E-2</v>
      </c>
      <c r="V40" s="62">
        <f t="shared" si="7"/>
        <v>2.2753704764281381E-2</v>
      </c>
      <c r="W40" s="62">
        <f t="shared" si="3"/>
        <v>1.7720614562616921E-2</v>
      </c>
      <c r="X40" s="62">
        <f t="shared" si="4"/>
        <v>1.8801227011208461E-2</v>
      </c>
      <c r="Y40" s="234">
        <f t="shared" si="5"/>
        <v>0</v>
      </c>
      <c r="Z40" s="234">
        <f t="shared" si="6"/>
        <v>0</v>
      </c>
    </row>
    <row r="41" spans="1:26" x14ac:dyDescent="0.25">
      <c r="A41" s="551" t="s">
        <v>69</v>
      </c>
      <c r="B41" s="204" t="s">
        <v>121</v>
      </c>
      <c r="C41" s="176">
        <f>'ISS H15 PB BAN'!G53</f>
        <v>1.2426808907692289E-3</v>
      </c>
      <c r="D41" s="96">
        <f>'ISS H15 PB BAN'!H53</f>
        <v>1.1041687714576358E-3</v>
      </c>
      <c r="E41" s="96">
        <f>'ISS H15 PB PAR'!G53</f>
        <v>9.8928386727527621E-4</v>
      </c>
      <c r="F41" s="96">
        <f>'ISS H15 PB PAR'!H53</f>
        <v>9.148711658997354E-4</v>
      </c>
      <c r="G41" s="96">
        <f>'IVR H15 PB BAN'!G53</f>
        <v>0</v>
      </c>
      <c r="H41" s="96">
        <f>'IVR H15 PB BAN'!H53</f>
        <v>0</v>
      </c>
      <c r="I41" s="96">
        <f>'IVR H15 PB PAR'!G53</f>
        <v>2.1597006482125514E-3</v>
      </c>
      <c r="J41" s="96">
        <f>'IVR H15 PB PAR'!H53</f>
        <v>1.8895273866967456E-3</v>
      </c>
      <c r="K41" s="96">
        <f>'ROM H15 PB BAN'!G53</f>
        <v>1.4927077138567903E-3</v>
      </c>
      <c r="L41" s="96">
        <f>'ROM H15 PB BAN'!H53</f>
        <v>1.4732398803024643E-3</v>
      </c>
      <c r="M41" s="96">
        <f>'ROM H15 PB PAR'!G53</f>
        <v>2.7490896965891762E-3</v>
      </c>
      <c r="N41" s="96">
        <f>'ROM H15 PB PAR'!H53</f>
        <v>2.5447690515129438E-3</v>
      </c>
      <c r="O41" s="96">
        <f>'STO H15 PB BAN'!G53</f>
        <v>0</v>
      </c>
      <c r="P41" s="96">
        <f>'STO H15 PB BAN'!H53</f>
        <v>0</v>
      </c>
      <c r="Q41" s="96">
        <f>'STO H15 PB PAR '!G53</f>
        <v>0</v>
      </c>
      <c r="R41" s="96">
        <f>'STO H15 PB PAR '!H53</f>
        <v>0</v>
      </c>
      <c r="S41" s="60">
        <f t="shared" si="0"/>
        <v>1.079182852087878E-3</v>
      </c>
      <c r="T41" s="60">
        <f t="shared" si="1"/>
        <v>9.9082203198369058E-4</v>
      </c>
      <c r="U41" s="60">
        <f t="shared" si="2"/>
        <v>1.4745185530192508E-3</v>
      </c>
      <c r="V41" s="60">
        <f t="shared" si="7"/>
        <v>1.3372919010273562E-3</v>
      </c>
      <c r="W41" s="60">
        <f t="shared" si="3"/>
        <v>6.8384715115650486E-4</v>
      </c>
      <c r="X41" s="60">
        <f t="shared" si="4"/>
        <v>6.4435216294002502E-4</v>
      </c>
      <c r="Y41" s="234">
        <f t="shared" si="5"/>
        <v>0</v>
      </c>
      <c r="Z41" s="234">
        <f t="shared" si="6"/>
        <v>0</v>
      </c>
    </row>
    <row r="42" spans="1:26" ht="25.5" x14ac:dyDescent="0.25">
      <c r="A42" s="551"/>
      <c r="B42" s="204" t="s">
        <v>70</v>
      </c>
      <c r="C42" s="176">
        <f>'ISS H15 PB BAN'!G54</f>
        <v>0</v>
      </c>
      <c r="D42" s="96">
        <f>'ISS H15 PB BAN'!H54</f>
        <v>0</v>
      </c>
      <c r="E42" s="96">
        <f>'ISS H15 PB PAR'!G54</f>
        <v>0</v>
      </c>
      <c r="F42" s="96">
        <f>'ISS H15 PB PAR'!H54</f>
        <v>0</v>
      </c>
      <c r="G42" s="96">
        <f>'IVR H15 PB BAN'!G54</f>
        <v>0</v>
      </c>
      <c r="H42" s="96">
        <f>'IVR H15 PB BAN'!H54</f>
        <v>0</v>
      </c>
      <c r="I42" s="96">
        <f>'IVR H15 PB PAR'!G54</f>
        <v>0</v>
      </c>
      <c r="J42" s="96">
        <f>'IVR H15 PB PAR'!H54</f>
        <v>0</v>
      </c>
      <c r="K42" s="96">
        <f>'ROM H15 PB BAN'!G54</f>
        <v>0</v>
      </c>
      <c r="L42" s="96">
        <f>'ROM H15 PB BAN'!H54</f>
        <v>0</v>
      </c>
      <c r="M42" s="96">
        <f>'ROM H15 PB PAR'!G54</f>
        <v>0</v>
      </c>
      <c r="N42" s="96">
        <f>'ROM H15 PB PAR'!H54</f>
        <v>0</v>
      </c>
      <c r="O42" s="96">
        <f>'STO H15 PB BAN'!G54</f>
        <v>0</v>
      </c>
      <c r="P42" s="96">
        <f>'STO H15 PB BAN'!H54</f>
        <v>0</v>
      </c>
      <c r="Q42" s="96">
        <f>'STO H15 PB PAR '!G54</f>
        <v>0</v>
      </c>
      <c r="R42" s="96">
        <f>'STO H15 PB PAR '!H54</f>
        <v>0</v>
      </c>
      <c r="S42" s="60">
        <f t="shared" si="0"/>
        <v>0</v>
      </c>
      <c r="T42" s="60">
        <f t="shared" si="1"/>
        <v>0</v>
      </c>
      <c r="U42" s="60">
        <f t="shared" si="2"/>
        <v>0</v>
      </c>
      <c r="V42" s="60">
        <f t="shared" si="7"/>
        <v>0</v>
      </c>
      <c r="W42" s="60">
        <f t="shared" si="3"/>
        <v>0</v>
      </c>
      <c r="X42" s="60">
        <f t="shared" si="4"/>
        <v>0</v>
      </c>
      <c r="Y42" s="234">
        <f t="shared" si="5"/>
        <v>0</v>
      </c>
      <c r="Z42" s="234">
        <f t="shared" si="6"/>
        <v>0</v>
      </c>
    </row>
    <row r="43" spans="1:26" x14ac:dyDescent="0.25">
      <c r="A43" s="551"/>
      <c r="B43" s="204" t="s">
        <v>71</v>
      </c>
      <c r="C43" s="176">
        <f>'ISS H15 PB BAN'!G55</f>
        <v>0</v>
      </c>
      <c r="D43" s="96">
        <f>'ISS H15 PB BAN'!H55</f>
        <v>0</v>
      </c>
      <c r="E43" s="96">
        <f>'ISS H15 PB PAR'!G55</f>
        <v>0</v>
      </c>
      <c r="F43" s="96">
        <f>'ISS H15 PB PAR'!H55</f>
        <v>0</v>
      </c>
      <c r="G43" s="96">
        <f>'IVR H15 PB BAN'!G55</f>
        <v>3.4199872443206082E-3</v>
      </c>
      <c r="H43" s="96">
        <f>'IVR H15 PB BAN'!H55</f>
        <v>3.2593283478356484E-3</v>
      </c>
      <c r="I43" s="96">
        <f>'IVR H15 PB PAR'!G55</f>
        <v>0</v>
      </c>
      <c r="J43" s="96">
        <f>'IVR H15 PB PAR'!H55</f>
        <v>0</v>
      </c>
      <c r="K43" s="96">
        <f>'ROM H15 PB BAN'!G55</f>
        <v>0</v>
      </c>
      <c r="L43" s="96">
        <f>'ROM H15 PB BAN'!H55</f>
        <v>0</v>
      </c>
      <c r="M43" s="96">
        <f>'ROM H15 PB PAR'!G55</f>
        <v>0</v>
      </c>
      <c r="N43" s="96">
        <f>'ROM H15 PB PAR'!H55</f>
        <v>0</v>
      </c>
      <c r="O43" s="96">
        <f>'STO H15 PB BAN'!G55</f>
        <v>0</v>
      </c>
      <c r="P43" s="96">
        <f>'STO H15 PB BAN'!H55</f>
        <v>0</v>
      </c>
      <c r="Q43" s="96">
        <f>'STO H15 PB PAR '!G55</f>
        <v>0</v>
      </c>
      <c r="R43" s="96">
        <f>'STO H15 PB PAR '!H55</f>
        <v>0</v>
      </c>
      <c r="S43" s="60">
        <f t="shared" si="0"/>
        <v>4.2749840554007603E-4</v>
      </c>
      <c r="T43" s="60">
        <f t="shared" si="1"/>
        <v>4.0741604347945606E-4</v>
      </c>
      <c r="U43" s="60">
        <f t="shared" si="2"/>
        <v>0</v>
      </c>
      <c r="V43" s="60">
        <f t="shared" si="7"/>
        <v>0</v>
      </c>
      <c r="W43" s="60">
        <f t="shared" si="3"/>
        <v>8.5499681108015205E-4</v>
      </c>
      <c r="X43" s="60">
        <f t="shared" si="4"/>
        <v>8.1483208695891211E-4</v>
      </c>
      <c r="Y43" s="234">
        <f t="shared" si="5"/>
        <v>0</v>
      </c>
      <c r="Z43" s="234">
        <f t="shared" si="6"/>
        <v>0</v>
      </c>
    </row>
    <row r="44" spans="1:26" x14ac:dyDescent="0.25">
      <c r="A44" s="551"/>
      <c r="B44" s="204" t="s">
        <v>72</v>
      </c>
      <c r="C44" s="176">
        <f>'ISS H15 PB BAN'!G56</f>
        <v>0</v>
      </c>
      <c r="D44" s="96">
        <f>'ISS H15 PB BAN'!H56</f>
        <v>0</v>
      </c>
      <c r="E44" s="96">
        <f>'ISS H15 PB PAR'!G56</f>
        <v>0</v>
      </c>
      <c r="F44" s="96">
        <f>'ISS H15 PB PAR'!H56</f>
        <v>0</v>
      </c>
      <c r="G44" s="96">
        <f>'IVR H15 PB BAN'!G56</f>
        <v>0</v>
      </c>
      <c r="H44" s="96">
        <f>'IVR H15 PB BAN'!H56</f>
        <v>0</v>
      </c>
      <c r="I44" s="96">
        <f>'IVR H15 PB PAR'!G56</f>
        <v>0</v>
      </c>
      <c r="J44" s="96">
        <f>'IVR H15 PB PAR'!H56</f>
        <v>0</v>
      </c>
      <c r="K44" s="96">
        <f>'ROM H15 PB BAN'!G56</f>
        <v>0</v>
      </c>
      <c r="L44" s="96">
        <f>'ROM H15 PB BAN'!H56</f>
        <v>0</v>
      </c>
      <c r="M44" s="96">
        <f>'ROM H15 PB PAR'!G56</f>
        <v>0</v>
      </c>
      <c r="N44" s="96">
        <f>'ROM H15 PB PAR'!H56</f>
        <v>0</v>
      </c>
      <c r="O44" s="96">
        <f>'STO H15 PB BAN'!G56</f>
        <v>2.1742142453664726E-3</v>
      </c>
      <c r="P44" s="96">
        <f>'STO H15 PB BAN'!H56</f>
        <v>2E-3</v>
      </c>
      <c r="Q44" s="96">
        <f>'STO H15 PB PAR '!G56</f>
        <v>0</v>
      </c>
      <c r="R44" s="96">
        <f>'STO H15 PB PAR '!H56</f>
        <v>0</v>
      </c>
      <c r="S44" s="60">
        <f t="shared" si="0"/>
        <v>2.7177678067080908E-4</v>
      </c>
      <c r="T44" s="60">
        <f t="shared" si="1"/>
        <v>2.5000000000000001E-4</v>
      </c>
      <c r="U44" s="60">
        <f t="shared" si="2"/>
        <v>0</v>
      </c>
      <c r="V44" s="60">
        <f t="shared" si="7"/>
        <v>0</v>
      </c>
      <c r="W44" s="60">
        <f t="shared" si="3"/>
        <v>5.4355356134161816E-4</v>
      </c>
      <c r="X44" s="60">
        <f t="shared" si="4"/>
        <v>5.0000000000000001E-4</v>
      </c>
      <c r="Y44" s="234">
        <f t="shared" si="5"/>
        <v>0</v>
      </c>
      <c r="Z44" s="234">
        <f t="shared" si="6"/>
        <v>0</v>
      </c>
    </row>
    <row r="45" spans="1:26" x14ac:dyDescent="0.25">
      <c r="A45" s="551"/>
      <c r="B45" s="204" t="s">
        <v>122</v>
      </c>
      <c r="C45" s="176">
        <f>'ISS H15 PB BAN'!G57</f>
        <v>0</v>
      </c>
      <c r="D45" s="96">
        <f>'ISS H15 PB BAN'!H57</f>
        <v>0</v>
      </c>
      <c r="E45" s="96">
        <f>'ISS H15 PB PAR'!G57</f>
        <v>0</v>
      </c>
      <c r="F45" s="96">
        <f>'ISS H15 PB PAR'!H57</f>
        <v>0</v>
      </c>
      <c r="G45" s="96">
        <f>'IVR H15 PB BAN'!G57</f>
        <v>3.4199872443206082E-3</v>
      </c>
      <c r="H45" s="96">
        <f>'IVR H15 PB BAN'!H57</f>
        <v>3.2593283478356484E-3</v>
      </c>
      <c r="I45" s="96">
        <f>'IVR H15 PB PAR'!G57</f>
        <v>0</v>
      </c>
      <c r="J45" s="96">
        <f>'IVR H15 PB PAR'!H57</f>
        <v>0</v>
      </c>
      <c r="K45" s="96">
        <f>'ROM H15 PB BAN'!G57</f>
        <v>0</v>
      </c>
      <c r="L45" s="96">
        <f>'ROM H15 PB BAN'!H57</f>
        <v>0</v>
      </c>
      <c r="M45" s="96">
        <f>'ROM H15 PB PAR'!G57</f>
        <v>0</v>
      </c>
      <c r="N45" s="96">
        <f>'ROM H15 PB PAR'!H57</f>
        <v>0</v>
      </c>
      <c r="O45" s="96">
        <f>'STO H15 PB BAN'!G57</f>
        <v>0</v>
      </c>
      <c r="P45" s="96">
        <f>'STO H15 PB BAN'!H57</f>
        <v>0</v>
      </c>
      <c r="Q45" s="96">
        <f>'STO H15 PB PAR '!G57</f>
        <v>0</v>
      </c>
      <c r="R45" s="96">
        <f>'STO H15 PB PAR '!H57</f>
        <v>0</v>
      </c>
      <c r="S45" s="60">
        <f t="shared" si="0"/>
        <v>4.2749840554007603E-4</v>
      </c>
      <c r="T45" s="60">
        <f t="shared" si="1"/>
        <v>4.0741604347945606E-4</v>
      </c>
      <c r="U45" s="60">
        <f t="shared" si="2"/>
        <v>0</v>
      </c>
      <c r="V45" s="60">
        <f t="shared" si="7"/>
        <v>0</v>
      </c>
      <c r="W45" s="60">
        <f t="shared" si="3"/>
        <v>8.5499681108015205E-4</v>
      </c>
      <c r="X45" s="60">
        <f t="shared" si="4"/>
        <v>8.1483208695891211E-4</v>
      </c>
      <c r="Y45" s="234">
        <f t="shared" si="5"/>
        <v>0</v>
      </c>
      <c r="Z45" s="234">
        <f t="shared" si="6"/>
        <v>0</v>
      </c>
    </row>
    <row r="46" spans="1:26" x14ac:dyDescent="0.25">
      <c r="A46" s="551"/>
      <c r="B46" s="204" t="s">
        <v>123</v>
      </c>
      <c r="C46" s="176">
        <f>'ISS H15 PB BAN'!G58</f>
        <v>0</v>
      </c>
      <c r="D46" s="96">
        <f>'ISS H15 PB BAN'!H58</f>
        <v>0</v>
      </c>
      <c r="E46" s="96">
        <f>'ISS H15 PB PAR'!G58</f>
        <v>0</v>
      </c>
      <c r="F46" s="96">
        <f>'ISS H15 PB PAR'!H58</f>
        <v>0</v>
      </c>
      <c r="G46" s="96">
        <f>'IVR H15 PB BAN'!G58</f>
        <v>0</v>
      </c>
      <c r="H46" s="96">
        <f>'IVR H15 PB BAN'!H58</f>
        <v>0</v>
      </c>
      <c r="I46" s="96">
        <f>'IVR H15 PB PAR'!G58</f>
        <v>0</v>
      </c>
      <c r="J46" s="96">
        <f>'IVR H15 PB PAR'!H58</f>
        <v>0</v>
      </c>
      <c r="K46" s="96">
        <f>'ROM H15 PB BAN'!G58</f>
        <v>0</v>
      </c>
      <c r="L46" s="96">
        <f>'ROM H15 PB BAN'!H58</f>
        <v>0</v>
      </c>
      <c r="M46" s="96">
        <f>'ROM H15 PB PAR'!G58</f>
        <v>0</v>
      </c>
      <c r="N46" s="96">
        <f>'ROM H15 PB PAR'!H58</f>
        <v>0</v>
      </c>
      <c r="O46" s="96">
        <f>'STO H15 PB BAN'!G58</f>
        <v>0</v>
      </c>
      <c r="P46" s="96">
        <f>'STO H15 PB BAN'!H58</f>
        <v>0</v>
      </c>
      <c r="Q46" s="96">
        <f>'STO H15 PB PAR '!G58</f>
        <v>0</v>
      </c>
      <c r="R46" s="96">
        <f>'STO H15 PB PAR '!H58</f>
        <v>0</v>
      </c>
      <c r="S46" s="60">
        <f t="shared" si="0"/>
        <v>0</v>
      </c>
      <c r="T46" s="60">
        <f t="shared" si="1"/>
        <v>0</v>
      </c>
      <c r="U46" s="60">
        <f t="shared" si="2"/>
        <v>0</v>
      </c>
      <c r="V46" s="60">
        <f t="shared" si="7"/>
        <v>0</v>
      </c>
      <c r="W46" s="60">
        <f t="shared" si="3"/>
        <v>0</v>
      </c>
      <c r="X46" s="60">
        <f t="shared" si="4"/>
        <v>0</v>
      </c>
      <c r="Y46" s="234">
        <f t="shared" si="5"/>
        <v>0</v>
      </c>
      <c r="Z46" s="234">
        <f t="shared" si="6"/>
        <v>0</v>
      </c>
    </row>
    <row r="47" spans="1:26" x14ac:dyDescent="0.25">
      <c r="A47" s="551"/>
      <c r="B47" s="204" t="s">
        <v>124</v>
      </c>
      <c r="C47" s="176">
        <f>'ISS H15 PB BAN'!G59</f>
        <v>0</v>
      </c>
      <c r="D47" s="96">
        <f>'ISS H15 PB BAN'!H59</f>
        <v>0</v>
      </c>
      <c r="E47" s="96">
        <f>'ISS H15 PB PAR'!G59</f>
        <v>0</v>
      </c>
      <c r="F47" s="96">
        <f>'ISS H15 PB PAR'!H59</f>
        <v>0</v>
      </c>
      <c r="G47" s="96">
        <f>'IVR H15 PB BAN'!G59</f>
        <v>1.795493303268318E-3</v>
      </c>
      <c r="H47" s="96">
        <f>'IVR H15 PB BAN'!H59</f>
        <v>1.7111473826137143E-3</v>
      </c>
      <c r="I47" s="96">
        <f>'IVR H15 PB PAR'!G59</f>
        <v>1.8809552845499191E-3</v>
      </c>
      <c r="J47" s="96">
        <f>'IVR H15 PB PAR'!H59</f>
        <v>1.6456523853204197E-3</v>
      </c>
      <c r="K47" s="96">
        <f>'ROM H15 PB BAN'!G59</f>
        <v>0</v>
      </c>
      <c r="L47" s="96">
        <f>'ROM H15 PB BAN'!H59</f>
        <v>0</v>
      </c>
      <c r="M47" s="96">
        <f>'ROM H15 PB PAR'!G59</f>
        <v>0</v>
      </c>
      <c r="N47" s="96">
        <f>'ROM H15 PB PAR'!H59</f>
        <v>0</v>
      </c>
      <c r="O47" s="96">
        <f>'STO H15 PB BAN'!G59</f>
        <v>0</v>
      </c>
      <c r="P47" s="96">
        <f>'STO H15 PB BAN'!H59</f>
        <v>0</v>
      </c>
      <c r="Q47" s="96">
        <f>'STO H15 PB PAR '!G59</f>
        <v>0</v>
      </c>
      <c r="R47" s="96">
        <f>'STO H15 PB PAR '!H59</f>
        <v>0</v>
      </c>
      <c r="S47" s="60">
        <f t="shared" si="0"/>
        <v>4.5955607347727967E-4</v>
      </c>
      <c r="T47" s="60">
        <f t="shared" si="1"/>
        <v>4.1959997099176675E-4</v>
      </c>
      <c r="U47" s="60">
        <f t="shared" si="2"/>
        <v>4.7023882113747978E-4</v>
      </c>
      <c r="V47" s="60">
        <f t="shared" si="7"/>
        <v>4.1141309633010493E-4</v>
      </c>
      <c r="W47" s="60">
        <f t="shared" si="3"/>
        <v>4.488733258170795E-4</v>
      </c>
      <c r="X47" s="60">
        <f t="shared" si="4"/>
        <v>4.2778684565342856E-4</v>
      </c>
      <c r="Y47" s="234">
        <f t="shared" si="5"/>
        <v>0</v>
      </c>
      <c r="Z47" s="234">
        <f t="shared" si="6"/>
        <v>0</v>
      </c>
    </row>
    <row r="48" spans="1:26" x14ac:dyDescent="0.25">
      <c r="A48" s="551"/>
      <c r="B48" s="204" t="s">
        <v>125</v>
      </c>
      <c r="C48" s="176">
        <f>'ISS H15 PB BAN'!G60</f>
        <v>0</v>
      </c>
      <c r="D48" s="96">
        <f>'ISS H15 PB BAN'!H60</f>
        <v>0</v>
      </c>
      <c r="E48" s="96">
        <f>'ISS H15 PB PAR'!G60</f>
        <v>0</v>
      </c>
      <c r="F48" s="96">
        <f>'ISS H15 PB PAR'!H60</f>
        <v>0</v>
      </c>
      <c r="G48" s="96">
        <f>'IVR H15 PB BAN'!G60</f>
        <v>0</v>
      </c>
      <c r="H48" s="96">
        <f>'IVR H15 PB BAN'!H60</f>
        <v>0</v>
      </c>
      <c r="I48" s="96">
        <f>'IVR H15 PB PAR'!G60</f>
        <v>0</v>
      </c>
      <c r="J48" s="96">
        <f>'IVR H15 PB PAR'!H60</f>
        <v>0</v>
      </c>
      <c r="K48" s="96">
        <f>'ROM H15 PB BAN'!G60</f>
        <v>0</v>
      </c>
      <c r="L48" s="96">
        <f>'ROM H15 PB BAN'!H60</f>
        <v>0</v>
      </c>
      <c r="M48" s="96">
        <f>'ROM H15 PB PAR'!G60</f>
        <v>0</v>
      </c>
      <c r="N48" s="96">
        <f>'ROM H15 PB PAR'!H60</f>
        <v>0</v>
      </c>
      <c r="O48" s="96">
        <f>'STO H15 PB BAN'!G60</f>
        <v>0</v>
      </c>
      <c r="P48" s="96">
        <f>'STO H15 PB BAN'!H60</f>
        <v>0</v>
      </c>
      <c r="Q48" s="96">
        <f>'STO H15 PB PAR '!G60</f>
        <v>0</v>
      </c>
      <c r="R48" s="96">
        <f>'STO H15 PB PAR '!H60</f>
        <v>0</v>
      </c>
      <c r="S48" s="60">
        <f t="shared" si="0"/>
        <v>0</v>
      </c>
      <c r="T48" s="60">
        <f t="shared" si="1"/>
        <v>0</v>
      </c>
      <c r="U48" s="60">
        <f t="shared" si="2"/>
        <v>0</v>
      </c>
      <c r="V48" s="60">
        <f t="shared" si="7"/>
        <v>0</v>
      </c>
      <c r="W48" s="60">
        <f t="shared" si="3"/>
        <v>0</v>
      </c>
      <c r="X48" s="60">
        <f t="shared" si="4"/>
        <v>0</v>
      </c>
      <c r="Y48" s="234">
        <f t="shared" si="5"/>
        <v>0</v>
      </c>
      <c r="Z48" s="234">
        <f t="shared" si="6"/>
        <v>0</v>
      </c>
    </row>
    <row r="49" spans="1:26" x14ac:dyDescent="0.25">
      <c r="A49" s="551"/>
      <c r="B49" s="204" t="s">
        <v>126</v>
      </c>
      <c r="C49" s="176">
        <f>'ISS H15 PB BAN'!G61</f>
        <v>0</v>
      </c>
      <c r="D49" s="96">
        <f>'ISS H15 PB BAN'!H61</f>
        <v>0</v>
      </c>
      <c r="E49" s="96">
        <f>'ISS H15 PB PAR'!G61</f>
        <v>0</v>
      </c>
      <c r="F49" s="96">
        <f>'ISS H15 PB PAR'!H61</f>
        <v>0</v>
      </c>
      <c r="G49" s="96">
        <f>'IVR H15 PB BAN'!G61</f>
        <v>0</v>
      </c>
      <c r="H49" s="96">
        <f>'IVR H15 PB BAN'!H61</f>
        <v>0</v>
      </c>
      <c r="I49" s="96">
        <f>'IVR H15 PB PAR'!G61</f>
        <v>1.0188507791312061E-3</v>
      </c>
      <c r="J49" s="96">
        <f>'IVR H15 PB PAR'!H61</f>
        <v>8.9139504204856061E-4</v>
      </c>
      <c r="K49" s="96">
        <f>'ROM H15 PB BAN'!G61</f>
        <v>0</v>
      </c>
      <c r="L49" s="96">
        <f>'ROM H15 PB BAN'!H61</f>
        <v>0</v>
      </c>
      <c r="M49" s="96">
        <f>'ROM H15 PB PAR'!G61</f>
        <v>0</v>
      </c>
      <c r="N49" s="96">
        <f>'ROM H15 PB PAR'!H61</f>
        <v>0</v>
      </c>
      <c r="O49" s="96">
        <f>'STO H15 PB BAN'!G61</f>
        <v>1.6306606840248543E-3</v>
      </c>
      <c r="P49" s="96">
        <f>'STO H15 PB BAN'!H61</f>
        <v>1.5E-3</v>
      </c>
      <c r="Q49" s="96">
        <f>'STO H15 PB PAR '!G61</f>
        <v>0</v>
      </c>
      <c r="R49" s="96">
        <f>'STO H15 PB PAR '!H61</f>
        <v>0</v>
      </c>
      <c r="S49" s="60">
        <f t="shared" si="0"/>
        <v>3.3118893289450758E-4</v>
      </c>
      <c r="T49" s="60">
        <f t="shared" si="1"/>
        <v>2.9892438025607007E-4</v>
      </c>
      <c r="U49" s="60">
        <f t="shared" si="2"/>
        <v>2.5471269478280153E-4</v>
      </c>
      <c r="V49" s="60">
        <f t="shared" si="7"/>
        <v>2.2284876051214015E-4</v>
      </c>
      <c r="W49" s="60">
        <f t="shared" si="3"/>
        <v>4.0766517100621356E-4</v>
      </c>
      <c r="X49" s="60">
        <f t="shared" si="4"/>
        <v>3.7500000000000001E-4</v>
      </c>
      <c r="Y49" s="234">
        <f t="shared" si="5"/>
        <v>0</v>
      </c>
      <c r="Z49" s="234">
        <f t="shared" si="6"/>
        <v>0</v>
      </c>
    </row>
    <row r="50" spans="1:26" x14ac:dyDescent="0.25">
      <c r="A50" s="551"/>
      <c r="B50" s="204" t="s">
        <v>73</v>
      </c>
      <c r="C50" s="176">
        <f>'ISS H15 PB BAN'!G62</f>
        <v>0</v>
      </c>
      <c r="D50" s="96">
        <f>'ISS H15 PB BAN'!H62</f>
        <v>0</v>
      </c>
      <c r="E50" s="96">
        <f>'ISS H15 PB PAR'!G62</f>
        <v>0</v>
      </c>
      <c r="F50" s="96">
        <f>'ISS H15 PB PAR'!H62</f>
        <v>0</v>
      </c>
      <c r="G50" s="96">
        <f>'IVR H15 PB BAN'!G62</f>
        <v>0</v>
      </c>
      <c r="H50" s="96">
        <f>'IVR H15 PB BAN'!H62</f>
        <v>0</v>
      </c>
      <c r="I50" s="96">
        <f>'IVR H15 PB PAR'!G62</f>
        <v>0</v>
      </c>
      <c r="J50" s="96">
        <f>'IVR H15 PB PAR'!H62</f>
        <v>0</v>
      </c>
      <c r="K50" s="96">
        <f>'ROM H15 PB BAN'!G62</f>
        <v>0</v>
      </c>
      <c r="L50" s="96">
        <f>'ROM H15 PB BAN'!H62</f>
        <v>0</v>
      </c>
      <c r="M50" s="96">
        <f>'ROM H15 PB PAR'!G62</f>
        <v>0</v>
      </c>
      <c r="N50" s="96">
        <f>'ROM H15 PB PAR'!H62</f>
        <v>0</v>
      </c>
      <c r="O50" s="96">
        <f>'STO H15 PB BAN'!G62</f>
        <v>0</v>
      </c>
      <c r="P50" s="96">
        <f>'STO H15 PB BAN'!H62</f>
        <v>0</v>
      </c>
      <c r="Q50" s="96">
        <f>'STO H15 PB PAR '!G62</f>
        <v>0</v>
      </c>
      <c r="R50" s="96">
        <f>'STO H15 PB PAR '!H62</f>
        <v>0</v>
      </c>
      <c r="S50" s="60">
        <f t="shared" si="0"/>
        <v>0</v>
      </c>
      <c r="T50" s="60">
        <f t="shared" si="1"/>
        <v>0</v>
      </c>
      <c r="U50" s="60">
        <f t="shared" si="2"/>
        <v>0</v>
      </c>
      <c r="V50" s="60">
        <f t="shared" si="7"/>
        <v>0</v>
      </c>
      <c r="W50" s="60">
        <f t="shared" si="3"/>
        <v>0</v>
      </c>
      <c r="X50" s="60">
        <f t="shared" si="4"/>
        <v>0</v>
      </c>
      <c r="Y50" s="234">
        <f t="shared" si="5"/>
        <v>0</v>
      </c>
      <c r="Z50" s="234">
        <f t="shared" si="6"/>
        <v>0</v>
      </c>
    </row>
    <row r="51" spans="1:26" x14ac:dyDescent="0.25">
      <c r="A51" s="557" t="s">
        <v>74</v>
      </c>
      <c r="B51" s="557"/>
      <c r="C51" s="174">
        <f>'ISS H15 PB BAN'!G63</f>
        <v>0.11239304967671503</v>
      </c>
      <c r="D51" s="111">
        <f>'ISS H15 PB BAN'!H63</f>
        <v>5.5118501480810947E-2</v>
      </c>
      <c r="E51" s="111">
        <f>'ISS H15 PB PAR'!G63</f>
        <v>0.11226737072325454</v>
      </c>
      <c r="F51" s="111">
        <f>'ISS H15 PB PAR'!H63</f>
        <v>5.5076977076071766E-2</v>
      </c>
      <c r="G51" s="111">
        <f>'IVR H15 PB BAN'!G63</f>
        <v>0.16098802330715609</v>
      </c>
      <c r="H51" s="111">
        <f>'IVR H15 PB BAN'!H63</f>
        <v>7.9050656598086605E-2</v>
      </c>
      <c r="I51" s="111">
        <f>'IVR H15 PB PAR'!G63</f>
        <v>8.8466137885559973E-2</v>
      </c>
      <c r="J51" s="111">
        <f>'IVR H15 PB PAR'!H63</f>
        <v>4.3381492015019466E-2</v>
      </c>
      <c r="K51" s="111">
        <f>'ROM H15 PB BAN'!G63</f>
        <v>0.15697116654426232</v>
      </c>
      <c r="L51" s="111">
        <f>'ROM H15 PB BAN'!H63</f>
        <v>7.6964739348549957E-2</v>
      </c>
      <c r="M51" s="111">
        <f>'ROM H15 PB PAR'!G63</f>
        <v>0.11365712289140384</v>
      </c>
      <c r="N51" s="111">
        <f>'ROM H15 PB PAR'!H63</f>
        <v>5.5732204341616638E-2</v>
      </c>
      <c r="O51" s="111">
        <f>'STO H15 PB BAN'!G63</f>
        <v>0.22418919927099878</v>
      </c>
      <c r="P51" s="111">
        <f>'STO H15 PB BAN'!H63</f>
        <v>0.10992303163989642</v>
      </c>
      <c r="Q51" s="111">
        <f>'STO H15 PB PAR '!G63</f>
        <v>0.21504212008174797</v>
      </c>
      <c r="R51" s="111">
        <f>'STO H15 PB PAR '!H63</f>
        <v>0.10545420333343508</v>
      </c>
      <c r="S51" s="62">
        <f t="shared" si="0"/>
        <v>0.14799677379763732</v>
      </c>
      <c r="T51" s="62">
        <f t="shared" si="1"/>
        <v>7.258772572918587E-2</v>
      </c>
      <c r="U51" s="62">
        <f t="shared" si="2"/>
        <v>0.13235818789549159</v>
      </c>
      <c r="V51" s="62">
        <f t="shared" si="7"/>
        <v>6.4911219191535738E-2</v>
      </c>
      <c r="W51" s="62">
        <f t="shared" si="3"/>
        <v>0.16363535969978305</v>
      </c>
      <c r="X51" s="62">
        <f t="shared" si="4"/>
        <v>8.0264232266835989E-2</v>
      </c>
      <c r="Y51" s="234">
        <f t="shared" si="5"/>
        <v>0</v>
      </c>
      <c r="Z51" s="234">
        <f t="shared" si="6"/>
        <v>0</v>
      </c>
    </row>
    <row r="52" spans="1:26" ht="14.25" customHeight="1" x14ac:dyDescent="0.25">
      <c r="A52" s="558" t="s">
        <v>25</v>
      </c>
      <c r="B52" s="558"/>
      <c r="C52" s="174">
        <f>SUM(C6:C51)</f>
        <v>0.99999999999999978</v>
      </c>
      <c r="D52" s="174">
        <f t="shared" ref="D52:Z52" si="8">SUM(D6:D51)</f>
        <v>1</v>
      </c>
      <c r="E52" s="174">
        <f t="shared" si="8"/>
        <v>1</v>
      </c>
      <c r="F52" s="174">
        <f t="shared" si="8"/>
        <v>0.99999999999999956</v>
      </c>
      <c r="G52" s="174">
        <f t="shared" si="8"/>
        <v>1.0000000000000002</v>
      </c>
      <c r="H52" s="174">
        <f t="shared" si="8"/>
        <v>0.99999999999999956</v>
      </c>
      <c r="I52" s="174">
        <f t="shared" si="8"/>
        <v>1</v>
      </c>
      <c r="J52" s="174">
        <f t="shared" si="8"/>
        <v>1</v>
      </c>
      <c r="K52" s="174">
        <f t="shared" si="8"/>
        <v>0.99999999999999989</v>
      </c>
      <c r="L52" s="174">
        <f t="shared" si="8"/>
        <v>0.99999999999999989</v>
      </c>
      <c r="M52" s="174">
        <f t="shared" si="8"/>
        <v>1</v>
      </c>
      <c r="N52" s="174">
        <f t="shared" si="8"/>
        <v>1.0000000000000002</v>
      </c>
      <c r="O52" s="174">
        <f t="shared" si="8"/>
        <v>1.0000000000000002</v>
      </c>
      <c r="P52" s="174">
        <f t="shared" si="8"/>
        <v>0.9999785355136761</v>
      </c>
      <c r="Q52" s="174">
        <f t="shared" si="8"/>
        <v>1.0000000000000002</v>
      </c>
      <c r="R52" s="174">
        <f t="shared" si="8"/>
        <v>0.99999999999999978</v>
      </c>
      <c r="S52" s="174">
        <f t="shared" si="8"/>
        <v>0.99999999999999989</v>
      </c>
      <c r="T52" s="174">
        <f t="shared" si="8"/>
        <v>0.99999731693920912</v>
      </c>
      <c r="U52" s="174">
        <f t="shared" si="8"/>
        <v>1</v>
      </c>
      <c r="V52" s="174">
        <f t="shared" si="8"/>
        <v>0.99999999999999989</v>
      </c>
      <c r="W52" s="174">
        <f t="shared" si="8"/>
        <v>1.0000000000000002</v>
      </c>
      <c r="X52" s="174">
        <f t="shared" si="8"/>
        <v>0.99999463387841891</v>
      </c>
      <c r="Y52" s="235">
        <f t="shared" si="8"/>
        <v>0</v>
      </c>
      <c r="Z52" s="235">
        <f t="shared" si="8"/>
        <v>0</v>
      </c>
    </row>
    <row r="53" spans="1:26" hidden="1" x14ac:dyDescent="0.25">
      <c r="A53" s="170"/>
      <c r="B53" s="171"/>
      <c r="C53" s="172"/>
      <c r="D53" s="172"/>
      <c r="E53" s="111">
        <f>'ISS H15 PB PAR'!G65</f>
        <v>0</v>
      </c>
      <c r="F53" s="111">
        <f>'ISS H15 PB PAR'!H65</f>
        <v>0</v>
      </c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</row>
    <row r="55" spans="1:26" x14ac:dyDescent="0.25">
      <c r="B55" s="27"/>
      <c r="C55" s="533" t="str">
        <f>C1</f>
        <v>ISS H15 PB BAN</v>
      </c>
      <c r="D55" s="533"/>
      <c r="E55" s="533" t="str">
        <f>E1</f>
        <v>ISS H15 PB PAR</v>
      </c>
      <c r="F55" s="533"/>
      <c r="G55" s="533" t="str">
        <f>G1</f>
        <v>IVR H15 PB BAN</v>
      </c>
      <c r="H55" s="533"/>
      <c r="I55" s="533" t="str">
        <f>I1</f>
        <v>IVR H15 PB PAR</v>
      </c>
      <c r="J55" s="533"/>
      <c r="K55" s="533" t="str">
        <f>K1</f>
        <v>ROM-H15-PB-BAN</v>
      </c>
      <c r="L55" s="533"/>
      <c r="M55" s="533" t="str">
        <f>M1</f>
        <v>ROM-H15-PB-PAR</v>
      </c>
      <c r="N55" s="533"/>
      <c r="O55" s="533" t="str">
        <f>O1</f>
        <v>STO H15 PB BAN</v>
      </c>
      <c r="P55" s="533"/>
      <c r="Q55" s="533" t="str">
        <f>Q1</f>
        <v>STO H15 PB PAR</v>
      </c>
      <c r="R55" s="533"/>
      <c r="S55" s="544" t="s">
        <v>76</v>
      </c>
      <c r="T55" s="545"/>
      <c r="U55" s="546" t="s">
        <v>77</v>
      </c>
      <c r="V55" s="546"/>
      <c r="W55" s="546" t="s">
        <v>78</v>
      </c>
      <c r="X55" s="546"/>
    </row>
    <row r="56" spans="1:26" x14ac:dyDescent="0.25">
      <c r="B56" s="27"/>
      <c r="C56" s="29" t="s">
        <v>80</v>
      </c>
      <c r="D56" s="29" t="s">
        <v>81</v>
      </c>
      <c r="E56" s="29" t="s">
        <v>80</v>
      </c>
      <c r="F56" s="29" t="s">
        <v>81</v>
      </c>
      <c r="G56" s="29" t="s">
        <v>80</v>
      </c>
      <c r="H56" s="29" t="s">
        <v>81</v>
      </c>
      <c r="I56" s="29" t="s">
        <v>80</v>
      </c>
      <c r="J56" s="29" t="s">
        <v>81</v>
      </c>
      <c r="K56" s="29" t="s">
        <v>80</v>
      </c>
      <c r="L56" s="29" t="s">
        <v>81</v>
      </c>
      <c r="M56" s="29" t="s">
        <v>80</v>
      </c>
      <c r="N56" s="29" t="s">
        <v>81</v>
      </c>
      <c r="O56" s="29" t="s">
        <v>80</v>
      </c>
      <c r="P56" s="29" t="s">
        <v>81</v>
      </c>
      <c r="Q56" s="29" t="s">
        <v>80</v>
      </c>
      <c r="R56" s="29" t="s">
        <v>81</v>
      </c>
      <c r="S56" s="29" t="s">
        <v>80</v>
      </c>
      <c r="T56" s="29" t="s">
        <v>81</v>
      </c>
      <c r="U56" s="29" t="s">
        <v>80</v>
      </c>
      <c r="V56" s="29" t="s">
        <v>81</v>
      </c>
      <c r="W56" s="29" t="s">
        <v>80</v>
      </c>
      <c r="X56" s="29" t="s">
        <v>81</v>
      </c>
      <c r="Y56" s="69" t="s">
        <v>100</v>
      </c>
    </row>
    <row r="57" spans="1:26" x14ac:dyDescent="0.25">
      <c r="A57" s="39">
        <f>AVERAGE(F57,H57,J57,L57,N57,P57,R57)</f>
        <v>0.20048993497066808</v>
      </c>
      <c r="B57" s="30" t="s">
        <v>82</v>
      </c>
      <c r="C57" s="31">
        <f>SUM(C6:C10)</f>
        <v>0.10543595588669426</v>
      </c>
      <c r="D57" s="31">
        <f t="shared" ref="D57:X57" si="9">SUM(D6:D10)</f>
        <v>0.22431925800519351</v>
      </c>
      <c r="E57" s="31">
        <f t="shared" si="9"/>
        <v>8.0940530507693467E-2</v>
      </c>
      <c r="F57" s="31">
        <f t="shared" si="9"/>
        <v>0.1794374587644047</v>
      </c>
      <c r="G57" s="31">
        <f t="shared" si="9"/>
        <v>7.9144616020552602E-2</v>
      </c>
      <c r="H57" s="31">
        <f t="shared" si="9"/>
        <v>0.18143011668421039</v>
      </c>
      <c r="I57" s="31">
        <f t="shared" si="9"/>
        <v>0.11871058576312855</v>
      </c>
      <c r="J57" s="31">
        <f t="shared" si="9"/>
        <v>0.24860521529116161</v>
      </c>
      <c r="K57" s="31">
        <f t="shared" si="9"/>
        <v>5.3324256670750608E-2</v>
      </c>
      <c r="L57" s="31">
        <f t="shared" si="9"/>
        <v>0.1259911893080515</v>
      </c>
      <c r="M57" s="31">
        <f t="shared" si="9"/>
        <v>8.0891964322136578E-2</v>
      </c>
      <c r="N57" s="196">
        <f t="shared" si="9"/>
        <v>0.17949905289372517</v>
      </c>
      <c r="O57" s="31">
        <f t="shared" si="9"/>
        <v>0.11995481044901787</v>
      </c>
      <c r="P57" s="31">
        <f t="shared" si="9"/>
        <v>0.26595443420772169</v>
      </c>
      <c r="Q57" s="31">
        <f t="shared" si="9"/>
        <v>9.7860348364809779E-2</v>
      </c>
      <c r="R57" s="196">
        <f t="shared" si="9"/>
        <v>0.22251207764540148</v>
      </c>
      <c r="S57" s="31">
        <f t="shared" si="9"/>
        <v>9.2032883498097962E-2</v>
      </c>
      <c r="T57" s="31">
        <f>SUM(T6:T10)</f>
        <v>0.20346860034998376</v>
      </c>
      <c r="U57" s="31">
        <f t="shared" si="9"/>
        <v>9.4600857239442074E-2</v>
      </c>
      <c r="V57" s="31">
        <f>SUM(V6:V10)</f>
        <v>0.20751345114867323</v>
      </c>
      <c r="W57" s="31">
        <f t="shared" si="9"/>
        <v>8.9464909756753835E-2</v>
      </c>
      <c r="X57" s="31">
        <f t="shared" si="9"/>
        <v>0.1994237495512943</v>
      </c>
      <c r="Y57" s="34">
        <v>0.30930000000000002</v>
      </c>
      <c r="Z57" s="39"/>
    </row>
    <row r="58" spans="1:26" x14ac:dyDescent="0.25">
      <c r="B58" s="30" t="s">
        <v>31</v>
      </c>
      <c r="C58" s="31">
        <f>SUM(C11:C15)</f>
        <v>0.12683901511541915</v>
      </c>
      <c r="D58" s="31">
        <f t="shared" ref="D58:X58" si="10">SUM(D11:D15)</f>
        <v>0.11056373219639665</v>
      </c>
      <c r="E58" s="31">
        <f t="shared" si="10"/>
        <v>0.16562282445800608</v>
      </c>
      <c r="F58" s="196">
        <f t="shared" si="10"/>
        <v>0.15029629900576674</v>
      </c>
      <c r="G58" s="31">
        <f t="shared" si="10"/>
        <v>0.20493305640673024</v>
      </c>
      <c r="H58" s="31">
        <f t="shared" si="10"/>
        <v>0.19178378249817812</v>
      </c>
      <c r="I58" s="31">
        <f t="shared" si="10"/>
        <v>0.13203833842998688</v>
      </c>
      <c r="J58" s="196">
        <f t="shared" si="10"/>
        <v>0.11332205556006666</v>
      </c>
      <c r="K58" s="31">
        <f t="shared" si="10"/>
        <v>0.10083445087611378</v>
      </c>
      <c r="L58" s="31">
        <f t="shared" si="10"/>
        <v>9.7627891623808416E-2</v>
      </c>
      <c r="M58" s="31">
        <f t="shared" si="10"/>
        <v>0.12161728946850341</v>
      </c>
      <c r="N58" s="31">
        <f t="shared" si="10"/>
        <v>0.11046930974281378</v>
      </c>
      <c r="O58" s="31">
        <f t="shared" si="10"/>
        <v>0.1369008920673154</v>
      </c>
      <c r="P58" s="31">
        <f t="shared" si="10"/>
        <v>0.12431275325808978</v>
      </c>
      <c r="Q58" s="31">
        <f t="shared" si="10"/>
        <v>0.14667006793556156</v>
      </c>
      <c r="R58" s="31">
        <f t="shared" si="10"/>
        <v>0.13649725609846297</v>
      </c>
      <c r="S58" s="31">
        <f t="shared" si="10"/>
        <v>0.14193199184470456</v>
      </c>
      <c r="T58" s="31">
        <f t="shared" si="10"/>
        <v>0.12935913499794788</v>
      </c>
      <c r="U58" s="31">
        <f t="shared" si="10"/>
        <v>0.14148713007301447</v>
      </c>
      <c r="V58" s="31">
        <f t="shared" si="10"/>
        <v>0.12764623010177753</v>
      </c>
      <c r="W58" s="31">
        <f t="shared" si="10"/>
        <v>0.14237685361639463</v>
      </c>
      <c r="X58" s="31">
        <f t="shared" si="10"/>
        <v>0.13107203989411825</v>
      </c>
      <c r="Y58" s="42">
        <v>0.1033</v>
      </c>
      <c r="Z58" s="39">
        <f>AVERAGE(F58,N58,R58)</f>
        <v>0.13242095494901449</v>
      </c>
    </row>
    <row r="59" spans="1:26" x14ac:dyDescent="0.25">
      <c r="B59" s="30" t="s">
        <v>37</v>
      </c>
      <c r="C59" s="31">
        <f>SUM(C16:C18)</f>
        <v>5.2848590048983554E-2</v>
      </c>
      <c r="D59" s="31">
        <f t="shared" ref="D59:X59" si="11">SUM(D16:D18)</f>
        <v>4.6072624061064806E-2</v>
      </c>
      <c r="E59" s="31">
        <f t="shared" si="11"/>
        <v>8.966054166498684E-2</v>
      </c>
      <c r="F59" s="31">
        <f t="shared" si="11"/>
        <v>8.1374119218950464E-2</v>
      </c>
      <c r="G59" s="31">
        <f t="shared" si="11"/>
        <v>7.9114724345137458E-2</v>
      </c>
      <c r="H59" s="31">
        <f t="shared" si="11"/>
        <v>7.4051668671202608E-2</v>
      </c>
      <c r="I59" s="31">
        <f t="shared" si="11"/>
        <v>9.886149700562305E-2</v>
      </c>
      <c r="J59" s="31">
        <f t="shared" si="11"/>
        <v>8.48573189623619E-2</v>
      </c>
      <c r="K59" s="31">
        <f t="shared" si="11"/>
        <v>8.7911282723271408E-2</v>
      </c>
      <c r="L59" s="31">
        <f t="shared" si="11"/>
        <v>8.5125191559184382E-2</v>
      </c>
      <c r="M59" s="31">
        <f t="shared" si="11"/>
        <v>4.742512277789307E-2</v>
      </c>
      <c r="N59" s="31">
        <f t="shared" si="11"/>
        <v>4.3083549492035987E-2</v>
      </c>
      <c r="O59" s="31">
        <f t="shared" si="11"/>
        <v>0.13031963080989484</v>
      </c>
      <c r="P59" s="31">
        <f t="shared" si="11"/>
        <v>0.11835097617063614</v>
      </c>
      <c r="Q59" s="31">
        <f t="shared" si="11"/>
        <v>6.775005307137856E-2</v>
      </c>
      <c r="R59" s="31">
        <f t="shared" si="11"/>
        <v>6.3059383271859726E-2</v>
      </c>
      <c r="S59" s="31">
        <f t="shared" si="11"/>
        <v>8.1736430305896099E-2</v>
      </c>
      <c r="T59" s="31">
        <f t="shared" si="11"/>
        <v>7.4496853925911988E-2</v>
      </c>
      <c r="U59" s="31">
        <f t="shared" si="11"/>
        <v>7.592430362997038E-2</v>
      </c>
      <c r="V59" s="31">
        <f t="shared" si="11"/>
        <v>6.8093592736302028E-2</v>
      </c>
      <c r="W59" s="31">
        <f t="shared" si="11"/>
        <v>8.7548556981821818E-2</v>
      </c>
      <c r="X59" s="31">
        <f t="shared" si="11"/>
        <v>8.0900115115521976E-2</v>
      </c>
      <c r="Y59" s="34">
        <v>5.6899999999999999E-2</v>
      </c>
      <c r="Z59" s="39"/>
    </row>
    <row r="60" spans="1:26" x14ac:dyDescent="0.25">
      <c r="B60" s="30" t="s">
        <v>83</v>
      </c>
      <c r="C60" s="31">
        <f>SUM(C19:C22)</f>
        <v>5.5624763682051229E-2</v>
      </c>
      <c r="D60" s="31">
        <f t="shared" ref="D60:X60" si="12">SUM(D19:D22)</f>
        <v>6.1040790537762846E-2</v>
      </c>
      <c r="E60" s="31">
        <f t="shared" si="12"/>
        <v>2.1326942452170157E-2</v>
      </c>
      <c r="F60" s="31">
        <f t="shared" si="12"/>
        <v>2.4361689000505983E-2</v>
      </c>
      <c r="G60" s="31">
        <f t="shared" si="12"/>
        <v>5.7354059113967105E-3</v>
      </c>
      <c r="H60" s="31">
        <f t="shared" si="12"/>
        <v>6.7545066852104044E-3</v>
      </c>
      <c r="I60" s="31">
        <f t="shared" si="12"/>
        <v>2.1898404705920516E-2</v>
      </c>
      <c r="J60" s="31">
        <f t="shared" si="12"/>
        <v>2.3660860718640112E-2</v>
      </c>
      <c r="K60" s="31">
        <f t="shared" si="12"/>
        <v>1.9517664559949435E-2</v>
      </c>
      <c r="L60" s="31">
        <f t="shared" si="12"/>
        <v>2.3789863301416095E-2</v>
      </c>
      <c r="M60" s="31">
        <f t="shared" si="12"/>
        <v>1.3825260764459774E-2</v>
      </c>
      <c r="N60" s="31">
        <f t="shared" si="12"/>
        <v>1.5807792600731084E-2</v>
      </c>
      <c r="O60" s="31">
        <f t="shared" si="12"/>
        <v>1.0178306883945994E-2</v>
      </c>
      <c r="P60" s="196">
        <f t="shared" si="12"/>
        <v>1.1634837804217679E-2</v>
      </c>
      <c r="Q60" s="31">
        <f t="shared" si="12"/>
        <v>1.6354966226121769E-2</v>
      </c>
      <c r="R60" s="31">
        <f t="shared" si="12"/>
        <v>1.9159231207820652E-2</v>
      </c>
      <c r="S60" s="31">
        <f t="shared" si="12"/>
        <v>2.0557714398251947E-2</v>
      </c>
      <c r="T60" s="31">
        <f t="shared" si="12"/>
        <v>2.327619648203811E-2</v>
      </c>
      <c r="U60" s="31">
        <f t="shared" si="12"/>
        <v>1.8351393537168054E-2</v>
      </c>
      <c r="V60" s="31">
        <f t="shared" si="12"/>
        <v>2.0747393381924453E-2</v>
      </c>
      <c r="W60" s="31">
        <f t="shared" si="12"/>
        <v>2.2764035259335839E-2</v>
      </c>
      <c r="X60" s="31">
        <f t="shared" si="12"/>
        <v>2.5804999582151756E-2</v>
      </c>
      <c r="Y60" s="42">
        <v>1.6899999999999998E-2</v>
      </c>
      <c r="Z60" s="39"/>
    </row>
    <row r="61" spans="1:26" x14ac:dyDescent="0.25">
      <c r="B61" s="30" t="s">
        <v>46</v>
      </c>
      <c r="C61" s="31">
        <f>C23</f>
        <v>6.6240329206479487E-2</v>
      </c>
      <c r="D61" s="31">
        <f t="shared" ref="D61:X61" si="13">D23</f>
        <v>5.7702396022015191E-2</v>
      </c>
      <c r="E61" s="31">
        <f t="shared" si="13"/>
        <v>1.4779459237781711E-2</v>
      </c>
      <c r="F61" s="31">
        <f t="shared" si="13"/>
        <v>1.3401604400057292E-2</v>
      </c>
      <c r="G61" s="31">
        <f t="shared" si="13"/>
        <v>3.3429805947987917E-2</v>
      </c>
      <c r="H61" s="31">
        <f t="shared" si="13"/>
        <v>3.1252369708208404E-2</v>
      </c>
      <c r="I61" s="31">
        <f t="shared" si="13"/>
        <v>5.7594896886532354E-2</v>
      </c>
      <c r="J61" s="31">
        <f t="shared" si="13"/>
        <v>4.9399373900884544E-2</v>
      </c>
      <c r="K61" s="31">
        <f t="shared" si="13"/>
        <v>6.8373170112447281E-3</v>
      </c>
      <c r="L61" s="31">
        <f t="shared" si="13"/>
        <v>6.6155993787452641E-3</v>
      </c>
      <c r="M61" s="31">
        <f t="shared" si="13"/>
        <v>1.9382190864863619E-2</v>
      </c>
      <c r="N61" s="31">
        <f t="shared" si="13"/>
        <v>1.7592202471774246E-2</v>
      </c>
      <c r="O61" s="31">
        <f t="shared" si="13"/>
        <v>3.1360908906817878E-2</v>
      </c>
      <c r="P61" s="31">
        <f t="shared" si="13"/>
        <v>2.8457244876337856E-2</v>
      </c>
      <c r="Q61" s="31">
        <f t="shared" si="13"/>
        <v>2.3914647289171059E-2</v>
      </c>
      <c r="R61" s="31">
        <f t="shared" si="13"/>
        <v>2.2238826442260006E-2</v>
      </c>
      <c r="S61" s="31">
        <f t="shared" si="13"/>
        <v>3.169244441885985E-2</v>
      </c>
      <c r="T61" s="31">
        <f t="shared" si="13"/>
        <v>2.833245215003535E-2</v>
      </c>
      <c r="U61" s="31">
        <f t="shared" si="13"/>
        <v>2.8917798569587184E-2</v>
      </c>
      <c r="V61" s="31">
        <f t="shared" si="13"/>
        <v>2.5658001803744022E-2</v>
      </c>
      <c r="W61" s="31">
        <f>W23</f>
        <v>3.4467090268132501E-2</v>
      </c>
      <c r="X61" s="31">
        <f t="shared" si="13"/>
        <v>3.1006902496326677E-2</v>
      </c>
      <c r="Y61" s="34">
        <v>2.3199999999999998E-2</v>
      </c>
      <c r="Z61" s="39"/>
    </row>
    <row r="62" spans="1:26" x14ac:dyDescent="0.25">
      <c r="B62" s="30" t="s">
        <v>47</v>
      </c>
      <c r="C62" s="31">
        <f>SUM(C24:C25)</f>
        <v>0.10774699049050576</v>
      </c>
      <c r="D62" s="31">
        <f t="shared" ref="D62:X62" si="14">SUM(D24:D25)</f>
        <v>9.6463323630130604E-2</v>
      </c>
      <c r="E62" s="31">
        <f t="shared" si="14"/>
        <v>0.12214670644763853</v>
      </c>
      <c r="F62" s="31">
        <f t="shared" si="14"/>
        <v>0.11393875242807827</v>
      </c>
      <c r="G62" s="31">
        <f t="shared" si="14"/>
        <v>4.518008121236082E-2</v>
      </c>
      <c r="H62" s="31">
        <f t="shared" si="14"/>
        <v>4.3568343662723802E-2</v>
      </c>
      <c r="I62" s="31">
        <f t="shared" si="14"/>
        <v>9.8035051557573721E-2</v>
      </c>
      <c r="J62" s="31">
        <f t="shared" si="14"/>
        <v>8.6395598630708781E-2</v>
      </c>
      <c r="K62" s="31">
        <f t="shared" si="14"/>
        <v>0.22024595597193841</v>
      </c>
      <c r="L62" s="31">
        <f t="shared" si="14"/>
        <v>0.21898216099394369</v>
      </c>
      <c r="M62" s="31">
        <f t="shared" si="14"/>
        <v>0.19764403013002302</v>
      </c>
      <c r="N62" s="31">
        <f t="shared" si="14"/>
        <v>0.18453718532993546</v>
      </c>
      <c r="O62" s="31">
        <f t="shared" si="14"/>
        <v>4.3750732731516528E-2</v>
      </c>
      <c r="P62" s="31">
        <f t="shared" si="14"/>
        <v>4.0816836073734722E-2</v>
      </c>
      <c r="Q62" s="31">
        <f t="shared" si="14"/>
        <v>9.0237711929816333E-2</v>
      </c>
      <c r="R62" s="31">
        <f t="shared" si="14"/>
        <v>8.6332316395432193E-2</v>
      </c>
      <c r="S62" s="31">
        <f t="shared" si="14"/>
        <v>0.11562340755892164</v>
      </c>
      <c r="T62" s="31">
        <f t="shared" si="14"/>
        <v>0.10887931464308595</v>
      </c>
      <c r="U62" s="31">
        <f t="shared" si="14"/>
        <v>0.12701587501626291</v>
      </c>
      <c r="V62" s="31">
        <f t="shared" si="14"/>
        <v>0.11780096319603869</v>
      </c>
      <c r="W62" s="31">
        <f t="shared" si="14"/>
        <v>0.10423094010158038</v>
      </c>
      <c r="X62" s="31">
        <f t="shared" si="14"/>
        <v>9.9957666090133193E-2</v>
      </c>
      <c r="Y62" s="42">
        <v>0.105</v>
      </c>
      <c r="Z62" s="39"/>
    </row>
    <row r="63" spans="1:26" x14ac:dyDescent="0.25">
      <c r="B63" s="30" t="s">
        <v>50</v>
      </c>
      <c r="C63" s="31">
        <f>SUM(C26:C30)</f>
        <v>0.19723360894708916</v>
      </c>
      <c r="D63" s="31">
        <f t="shared" ref="D63:X63" si="15">SUM(D26:D30)</f>
        <v>0.19384013215421225</v>
      </c>
      <c r="E63" s="31">
        <f t="shared" si="15"/>
        <v>0.17380271768054839</v>
      </c>
      <c r="F63" s="31">
        <f t="shared" si="15"/>
        <v>0.17781286322271472</v>
      </c>
      <c r="G63" s="31">
        <f t="shared" si="15"/>
        <v>0.13362432958428463</v>
      </c>
      <c r="H63" s="196">
        <f t="shared" si="15"/>
        <v>0.14095890950369683</v>
      </c>
      <c r="I63" s="31">
        <f t="shared" si="15"/>
        <v>0.1625832246643957</v>
      </c>
      <c r="J63" s="31">
        <f t="shared" si="15"/>
        <v>0.15732577103998913</v>
      </c>
      <c r="K63" s="31">
        <f t="shared" si="15"/>
        <v>0.15591894392633249</v>
      </c>
      <c r="L63" s="196">
        <f t="shared" si="15"/>
        <v>0.17020445402773865</v>
      </c>
      <c r="M63" s="31">
        <f t="shared" si="15"/>
        <v>0.14912703100086377</v>
      </c>
      <c r="N63" s="31">
        <f t="shared" si="15"/>
        <v>0.15271500927851134</v>
      </c>
      <c r="O63" s="31">
        <f t="shared" si="15"/>
        <v>0.19120295863663983</v>
      </c>
      <c r="P63" s="196">
        <f t="shared" si="15"/>
        <v>0.19574788697124892</v>
      </c>
      <c r="Q63" s="31">
        <f t="shared" si="15"/>
        <v>0.21072178669695912</v>
      </c>
      <c r="R63" s="31">
        <f t="shared" si="15"/>
        <v>0.22108924162522864</v>
      </c>
      <c r="S63" s="31">
        <f t="shared" si="15"/>
        <v>0.17177682514213913</v>
      </c>
      <c r="T63" s="31">
        <f t="shared" si="15"/>
        <v>0.17621178347791761</v>
      </c>
      <c r="U63" s="31">
        <f t="shared" si="15"/>
        <v>0.17405869001069174</v>
      </c>
      <c r="V63" s="31">
        <f t="shared" si="15"/>
        <v>0.17723572129161097</v>
      </c>
      <c r="W63" s="31">
        <f t="shared" si="15"/>
        <v>0.16949496027358651</v>
      </c>
      <c r="X63" s="31">
        <f t="shared" si="15"/>
        <v>0.17518784566422416</v>
      </c>
      <c r="Y63" s="34">
        <v>0.1143</v>
      </c>
      <c r="Z63" s="39"/>
    </row>
    <row r="64" spans="1:26" x14ac:dyDescent="0.25">
      <c r="B64" s="30" t="s">
        <v>56</v>
      </c>
      <c r="C64" s="31">
        <f>C31</f>
        <v>3.1894676530457342E-2</v>
      </c>
      <c r="D64" s="31">
        <f t="shared" ref="D64:X64" si="16">D31</f>
        <v>2.8372681426248443E-2</v>
      </c>
      <c r="E64" s="31">
        <f t="shared" si="16"/>
        <v>1.9603869790683084E-2</v>
      </c>
      <c r="F64" s="31">
        <f t="shared" si="16"/>
        <v>1.8153479123607305E-2</v>
      </c>
      <c r="G64" s="31">
        <f t="shared" si="16"/>
        <v>9.2700728056829482E-2</v>
      </c>
      <c r="H64" s="31">
        <f t="shared" si="16"/>
        <v>8.8507146924422811E-2</v>
      </c>
      <c r="I64" s="31">
        <f t="shared" si="16"/>
        <v>2.1283129987918623E-2</v>
      </c>
      <c r="J64" s="31">
        <f t="shared" si="16"/>
        <v>1.8641516941560111E-2</v>
      </c>
      <c r="K64" s="31">
        <f t="shared" si="16"/>
        <v>6.1321148567017633E-2</v>
      </c>
      <c r="L64" s="31">
        <f t="shared" si="16"/>
        <v>6.0590294211868879E-2</v>
      </c>
      <c r="M64" s="31">
        <f t="shared" si="16"/>
        <v>4.989708649700348E-2</v>
      </c>
      <c r="N64" s="31">
        <f t="shared" si="16"/>
        <v>4.6250044687314126E-2</v>
      </c>
      <c r="O64" s="31">
        <f t="shared" si="16"/>
        <v>3.1094461082630805E-2</v>
      </c>
      <c r="P64" s="31">
        <f t="shared" si="16"/>
        <v>2.8813876890007237E-2</v>
      </c>
      <c r="Q64" s="31">
        <f t="shared" si="16"/>
        <v>3.0378065475433522E-2</v>
      </c>
      <c r="R64" s="31">
        <f t="shared" si="16"/>
        <v>2.8848871580175076E-2</v>
      </c>
      <c r="S64" s="31">
        <f t="shared" si="16"/>
        <v>4.2271645748496747E-2</v>
      </c>
      <c r="T64" s="31">
        <f t="shared" si="16"/>
        <v>3.9772238973150499E-2</v>
      </c>
      <c r="U64" s="31">
        <f t="shared" si="16"/>
        <v>3.0290537937759678E-2</v>
      </c>
      <c r="V64" s="31">
        <f t="shared" si="16"/>
        <v>2.7973478083164152E-2</v>
      </c>
      <c r="W64" s="31">
        <f t="shared" si="16"/>
        <v>5.4252753559233813E-2</v>
      </c>
      <c r="X64" s="31">
        <f t="shared" si="16"/>
        <v>5.1570999863136846E-2</v>
      </c>
      <c r="Y64" s="42">
        <v>2.4400000000000002E-2</v>
      </c>
      <c r="Z64" s="39"/>
    </row>
    <row r="65" spans="1:26" x14ac:dyDescent="0.25">
      <c r="B65" s="30" t="s">
        <v>57</v>
      </c>
      <c r="C65" s="31">
        <f>SUM(C32:C33)</f>
        <v>9.3774160740586615E-2</v>
      </c>
      <c r="D65" s="196">
        <f t="shared" ref="D65:X65" si="17">SUM(D32:D33)</f>
        <v>8.160052146254014E-2</v>
      </c>
      <c r="E65" s="31">
        <f t="shared" si="17"/>
        <v>0.13974731739818247</v>
      </c>
      <c r="F65" s="196">
        <f t="shared" si="17"/>
        <v>0.126565057272441</v>
      </c>
      <c r="G65" s="31">
        <f t="shared" si="17"/>
        <v>6.4460686326152747E-2</v>
      </c>
      <c r="H65" s="31">
        <f t="shared" si="17"/>
        <v>6.0162009318049589E-2</v>
      </c>
      <c r="I65" s="31">
        <f t="shared" si="17"/>
        <v>0.14652848997906096</v>
      </c>
      <c r="J65" s="31">
        <f t="shared" si="17"/>
        <v>0.12554988874317929</v>
      </c>
      <c r="K65" s="31">
        <f t="shared" si="17"/>
        <v>9.5218052902515601E-2</v>
      </c>
      <c r="L65" s="31">
        <f t="shared" si="17"/>
        <v>9.203485422166581E-2</v>
      </c>
      <c r="M65" s="31">
        <f t="shared" si="17"/>
        <v>0.10747566168815392</v>
      </c>
      <c r="N65" s="196">
        <f t="shared" si="17"/>
        <v>9.7431855542053858E-2</v>
      </c>
      <c r="O65" s="31">
        <f t="shared" si="17"/>
        <v>4.0819806665458799E-2</v>
      </c>
      <c r="P65" s="31">
        <f t="shared" si="17"/>
        <v>3.6998723049778096E-2</v>
      </c>
      <c r="Q65" s="31">
        <f t="shared" si="17"/>
        <v>7.0117175056477271E-2</v>
      </c>
      <c r="R65" s="196">
        <f t="shared" si="17"/>
        <v>6.5123370324336266E-2</v>
      </c>
      <c r="S65" s="31">
        <f t="shared" si="17"/>
        <v>9.4767668844573549E-2</v>
      </c>
      <c r="T65" s="31">
        <f t="shared" si="17"/>
        <v>8.5683284991755509E-2</v>
      </c>
      <c r="U65" s="31">
        <f t="shared" si="17"/>
        <v>0.11596716103046864</v>
      </c>
      <c r="V65" s="31">
        <f t="shared" si="17"/>
        <v>0.10366754297050261</v>
      </c>
      <c r="W65" s="31">
        <f t="shared" si="17"/>
        <v>7.3568176658678444E-2</v>
      </c>
      <c r="X65" s="31">
        <f t="shared" si="17"/>
        <v>6.7699027013008423E-2</v>
      </c>
      <c r="Y65" s="34">
        <v>5.7500000000000002E-2</v>
      </c>
      <c r="Z65" s="39"/>
    </row>
    <row r="66" spans="1:26" x14ac:dyDescent="0.25">
      <c r="B66" s="177" t="s">
        <v>60</v>
      </c>
      <c r="C66" s="31">
        <f>SUM(C34:C39)</f>
        <v>4.8477082839928326E-2</v>
      </c>
      <c r="D66" s="31">
        <f t="shared" ref="D66:X66" si="18">SUM(D34:D39)</f>
        <v>4.3554381006105959E-2</v>
      </c>
      <c r="E66" s="31">
        <f t="shared" si="18"/>
        <v>2.4896446853456176E-2</v>
      </c>
      <c r="F66" s="31">
        <f t="shared" si="18"/>
        <v>2.3282416643991465E-2</v>
      </c>
      <c r="G66" s="31">
        <f t="shared" si="18"/>
        <v>3.7967172487588095E-2</v>
      </c>
      <c r="H66" s="31">
        <f t="shared" si="18"/>
        <v>3.659801508509683E-2</v>
      </c>
      <c r="I66" s="31">
        <f t="shared" si="18"/>
        <v>3.6776342504718125E-2</v>
      </c>
      <c r="J66" s="31">
        <f t="shared" si="18"/>
        <v>3.2534096984123052E-2</v>
      </c>
      <c r="K66" s="31">
        <f t="shared" si="18"/>
        <v>3.7794814033497319E-2</v>
      </c>
      <c r="L66" s="31">
        <f t="shared" si="18"/>
        <v>3.7717683799755437E-2</v>
      </c>
      <c r="M66" s="31">
        <f t="shared" si="18"/>
        <v>5.4062844190464039E-2</v>
      </c>
      <c r="N66" s="31">
        <f t="shared" si="18"/>
        <v>5.0606854586599817E-2</v>
      </c>
      <c r="O66" s="31">
        <f t="shared" si="18"/>
        <v>2.2488196361388525E-2</v>
      </c>
      <c r="P66" s="31">
        <f t="shared" si="18"/>
        <v>2.1046024700832642E-2</v>
      </c>
      <c r="Q66" s="31">
        <f t="shared" si="18"/>
        <v>3.0953057872523101E-2</v>
      </c>
      <c r="R66" s="31">
        <f t="shared" si="18"/>
        <v>2.9685222075587766E-2</v>
      </c>
      <c r="S66" s="31">
        <f t="shared" si="18"/>
        <v>3.6676994642945465E-2</v>
      </c>
      <c r="T66" s="31">
        <f t="shared" si="18"/>
        <v>3.4378086860261628E-2</v>
      </c>
      <c r="U66" s="31">
        <f t="shared" si="18"/>
        <v>3.6672172855290362E-2</v>
      </c>
      <c r="V66" s="31">
        <f t="shared" si="18"/>
        <v>3.4027147572575529E-2</v>
      </c>
      <c r="W66" s="31">
        <f t="shared" si="18"/>
        <v>3.6681816430600568E-2</v>
      </c>
      <c r="X66" s="31">
        <f t="shared" si="18"/>
        <v>3.4729026147947713E-2</v>
      </c>
      <c r="Y66" s="42">
        <v>2.87E-2</v>
      </c>
      <c r="Z66" s="39"/>
    </row>
    <row r="67" spans="1:26" x14ac:dyDescent="0.25">
      <c r="B67" s="30" t="s">
        <v>67</v>
      </c>
      <c r="C67" s="31">
        <f>C40</f>
        <v>2.4909594432085899E-4</v>
      </c>
      <c r="D67" s="31">
        <f t="shared" ref="D67:X67" si="19">D40</f>
        <v>2.4748924606106642E-4</v>
      </c>
      <c r="E67" s="31">
        <f t="shared" si="19"/>
        <v>3.421598891832317E-2</v>
      </c>
      <c r="F67" s="31">
        <f t="shared" si="19"/>
        <v>3.538441267751026E-2</v>
      </c>
      <c r="G67" s="31">
        <f t="shared" si="19"/>
        <v>5.4085902601913781E-2</v>
      </c>
      <c r="H67" s="31">
        <f t="shared" si="19"/>
        <v>5.7652670582628518E-2</v>
      </c>
      <c r="I67" s="31">
        <f t="shared" si="19"/>
        <v>1.2164393917687847E-2</v>
      </c>
      <c r="J67" s="31">
        <f t="shared" si="19"/>
        <v>1.1900236398239538E-2</v>
      </c>
      <c r="K67" s="31">
        <f t="shared" si="19"/>
        <v>2.6122384992493877E-3</v>
      </c>
      <c r="L67" s="31">
        <f t="shared" si="19"/>
        <v>2.8828383449691413E-3</v>
      </c>
      <c r="M67" s="31">
        <f t="shared" si="19"/>
        <v>4.2245305707642296E-2</v>
      </c>
      <c r="N67" s="31">
        <f t="shared" si="19"/>
        <v>4.373016998137573E-2</v>
      </c>
      <c r="O67" s="31">
        <f t="shared" si="19"/>
        <v>1.3935221204983653E-2</v>
      </c>
      <c r="P67" s="31">
        <f t="shared" si="19"/>
        <v>1.442190987117512E-2</v>
      </c>
      <c r="Q67" s="31">
        <f t="shared" si="19"/>
        <v>0</v>
      </c>
      <c r="R67" s="31">
        <f t="shared" si="19"/>
        <v>0</v>
      </c>
      <c r="S67" s="31">
        <f t="shared" si="19"/>
        <v>1.9938518349265126E-2</v>
      </c>
      <c r="T67" s="31">
        <f t="shared" si="19"/>
        <v>2.0777465887744918E-2</v>
      </c>
      <c r="U67" s="31">
        <f t="shared" si="19"/>
        <v>2.2156422135913328E-2</v>
      </c>
      <c r="V67" s="31">
        <f t="shared" si="19"/>
        <v>2.2753704764281381E-2</v>
      </c>
      <c r="W67" s="31">
        <f t="shared" si="19"/>
        <v>1.7720614562616921E-2</v>
      </c>
      <c r="X67" s="31">
        <f t="shared" si="19"/>
        <v>1.8801227011208461E-2</v>
      </c>
      <c r="Y67" s="34">
        <v>2.5700000000000001E-2</v>
      </c>
      <c r="Z67" s="39"/>
    </row>
    <row r="68" spans="1:26" x14ac:dyDescent="0.25">
      <c r="A68" s="39">
        <f>AVERAGE(D68,F68,H68,J68,L68,N68,R68)</f>
        <v>2.6704896802176451E-3</v>
      </c>
      <c r="B68" s="30" t="s">
        <v>69</v>
      </c>
      <c r="C68" s="31">
        <f>SUM(C41:C50)</f>
        <v>1.2426808907692289E-3</v>
      </c>
      <c r="D68" s="31">
        <f t="shared" ref="D68:X68" si="20">SUM(D41:D50)</f>
        <v>1.1041687714576358E-3</v>
      </c>
      <c r="E68" s="31">
        <f t="shared" si="20"/>
        <v>9.8928386727527621E-4</v>
      </c>
      <c r="F68" s="31">
        <f t="shared" si="20"/>
        <v>9.148711658997354E-4</v>
      </c>
      <c r="G68" s="31">
        <f t="shared" si="20"/>
        <v>8.6354677919095353E-3</v>
      </c>
      <c r="H68" s="196">
        <f t="shared" si="20"/>
        <v>8.2298040782850107E-3</v>
      </c>
      <c r="I68" s="31">
        <f t="shared" si="20"/>
        <v>5.059506711893676E-3</v>
      </c>
      <c r="J68" s="31">
        <f t="shared" si="20"/>
        <v>4.4265748140657262E-3</v>
      </c>
      <c r="K68" s="31">
        <f t="shared" si="20"/>
        <v>1.4927077138567903E-3</v>
      </c>
      <c r="L68" s="31">
        <f t="shared" si="20"/>
        <v>1.4732398803024643E-3</v>
      </c>
      <c r="M68" s="31">
        <f t="shared" si="20"/>
        <v>2.7490896965891762E-3</v>
      </c>
      <c r="N68" s="31">
        <f t="shared" si="20"/>
        <v>2.5447690515129438E-3</v>
      </c>
      <c r="O68" s="31">
        <f t="shared" si="20"/>
        <v>3.8048749293913267E-3</v>
      </c>
      <c r="P68" s="31">
        <f t="shared" si="20"/>
        <v>3.5000000000000001E-3</v>
      </c>
      <c r="Q68" s="31">
        <f t="shared" si="20"/>
        <v>0</v>
      </c>
      <c r="R68" s="31">
        <f t="shared" si="20"/>
        <v>0</v>
      </c>
      <c r="S68" s="31">
        <f t="shared" si="20"/>
        <v>2.9967014502106266E-3</v>
      </c>
      <c r="T68" s="31">
        <f t="shared" si="20"/>
        <v>2.7741784701904395E-3</v>
      </c>
      <c r="U68" s="31">
        <f t="shared" si="20"/>
        <v>2.1994700689395323E-3</v>
      </c>
      <c r="V68" s="31">
        <f t="shared" si="20"/>
        <v>1.9715537578696013E-3</v>
      </c>
      <c r="W68" s="31">
        <f t="shared" si="20"/>
        <v>3.7939328314817206E-3</v>
      </c>
      <c r="X68" s="31">
        <f t="shared" si="20"/>
        <v>3.5768031825112777E-3</v>
      </c>
      <c r="Y68" s="42">
        <v>8.0999999999999996E-3</v>
      </c>
      <c r="Z68" s="39">
        <f>AVERAGE(D68,F68,J68,L68,N68,P68,R68)</f>
        <v>1.9948033833197864E-3</v>
      </c>
    </row>
    <row r="69" spans="1:26" x14ac:dyDescent="0.25">
      <c r="B69" s="28" t="s">
        <v>74</v>
      </c>
      <c r="C69" s="31">
        <f>C51</f>
        <v>0.11239304967671503</v>
      </c>
      <c r="D69" s="31">
        <f t="shared" ref="D69:X69" si="21">D51</f>
        <v>5.5118501480810947E-2</v>
      </c>
      <c r="E69" s="31">
        <f t="shared" si="21"/>
        <v>0.11226737072325454</v>
      </c>
      <c r="F69" s="31">
        <f t="shared" si="21"/>
        <v>5.5076977076071766E-2</v>
      </c>
      <c r="G69" s="31">
        <f t="shared" si="21"/>
        <v>0.16098802330715609</v>
      </c>
      <c r="H69" s="31">
        <f t="shared" si="21"/>
        <v>7.9050656598086605E-2</v>
      </c>
      <c r="I69" s="31">
        <f t="shared" si="21"/>
        <v>8.8466137885559973E-2</v>
      </c>
      <c r="J69" s="31">
        <f t="shared" si="21"/>
        <v>4.3381492015019466E-2</v>
      </c>
      <c r="K69" s="31">
        <f t="shared" si="21"/>
        <v>0.15697116654426232</v>
      </c>
      <c r="L69" s="31">
        <f t="shared" si="21"/>
        <v>7.6964739348549957E-2</v>
      </c>
      <c r="M69" s="31">
        <f t="shared" si="21"/>
        <v>0.11365712289140384</v>
      </c>
      <c r="N69" s="31">
        <f t="shared" si="21"/>
        <v>5.5732204341616638E-2</v>
      </c>
      <c r="O69" s="31">
        <f t="shared" si="21"/>
        <v>0.22418919927099878</v>
      </c>
      <c r="P69" s="31">
        <f t="shared" si="21"/>
        <v>0.10992303163989642</v>
      </c>
      <c r="Q69" s="31">
        <f t="shared" si="21"/>
        <v>0.21504212008174797</v>
      </c>
      <c r="R69" s="31">
        <f t="shared" si="21"/>
        <v>0.10545420333343508</v>
      </c>
      <c r="S69" s="31">
        <f t="shared" si="21"/>
        <v>0.14799677379763732</v>
      </c>
      <c r="T69" s="31">
        <f t="shared" si="21"/>
        <v>7.258772572918587E-2</v>
      </c>
      <c r="U69" s="31">
        <f t="shared" si="21"/>
        <v>0.13235818789549159</v>
      </c>
      <c r="V69" s="31">
        <f t="shared" si="21"/>
        <v>6.4911219191535738E-2</v>
      </c>
      <c r="W69" s="31">
        <f t="shared" si="21"/>
        <v>0.16363535969978305</v>
      </c>
      <c r="X69" s="31">
        <f t="shared" si="21"/>
        <v>8.0264232266835989E-2</v>
      </c>
      <c r="Y69" s="34">
        <v>0.12670000000000001</v>
      </c>
      <c r="Z69" s="39"/>
    </row>
    <row r="70" spans="1:26" x14ac:dyDescent="0.25">
      <c r="B70" s="27"/>
      <c r="C70" s="31">
        <f>SUM(C57:C69)</f>
        <v>1</v>
      </c>
      <c r="D70" s="31">
        <f t="shared" ref="D70:X70" si="22">SUM(D57:D69)</f>
        <v>1.0000000000000002</v>
      </c>
      <c r="E70" s="31">
        <f t="shared" si="22"/>
        <v>0.99999999999999978</v>
      </c>
      <c r="F70" s="31">
        <f t="shared" si="22"/>
        <v>0.99999999999999967</v>
      </c>
      <c r="G70" s="31">
        <f t="shared" si="22"/>
        <v>1</v>
      </c>
      <c r="H70" s="31">
        <f t="shared" si="22"/>
        <v>0.99999999999999989</v>
      </c>
      <c r="I70" s="31">
        <f t="shared" si="22"/>
        <v>1</v>
      </c>
      <c r="J70" s="31">
        <f t="shared" si="22"/>
        <v>0.99999999999999989</v>
      </c>
      <c r="K70" s="31">
        <f t="shared" si="22"/>
        <v>0.99999999999999989</v>
      </c>
      <c r="L70" s="31">
        <f t="shared" si="22"/>
        <v>0.99999999999999978</v>
      </c>
      <c r="M70" s="31">
        <f t="shared" si="22"/>
        <v>1</v>
      </c>
      <c r="N70" s="31">
        <f t="shared" si="22"/>
        <v>1.0000000000000002</v>
      </c>
      <c r="O70" s="31">
        <f t="shared" si="22"/>
        <v>1.0000000000000004</v>
      </c>
      <c r="P70" s="31">
        <f t="shared" si="22"/>
        <v>0.99997853551367633</v>
      </c>
      <c r="Q70" s="31">
        <f t="shared" si="22"/>
        <v>1</v>
      </c>
      <c r="R70" s="31">
        <f t="shared" si="22"/>
        <v>1</v>
      </c>
      <c r="S70" s="31">
        <f t="shared" si="22"/>
        <v>0.99999999999999989</v>
      </c>
      <c r="T70" s="31">
        <f t="shared" si="22"/>
        <v>0.99999731693920935</v>
      </c>
      <c r="U70" s="31">
        <f t="shared" si="22"/>
        <v>0.99999999999999989</v>
      </c>
      <c r="V70" s="31">
        <f t="shared" si="22"/>
        <v>1</v>
      </c>
      <c r="W70" s="31">
        <f t="shared" si="22"/>
        <v>1</v>
      </c>
      <c r="X70" s="31">
        <f t="shared" si="22"/>
        <v>0.99999463387841914</v>
      </c>
    </row>
    <row r="73" spans="1:26" ht="15" customHeight="1" x14ac:dyDescent="0.25">
      <c r="C73" s="532" t="s">
        <v>84</v>
      </c>
      <c r="D73" s="559" t="s">
        <v>133</v>
      </c>
      <c r="E73" s="560" t="s">
        <v>132</v>
      </c>
      <c r="F73" s="561"/>
      <c r="G73" s="561"/>
      <c r="H73" s="561"/>
      <c r="I73" s="562"/>
      <c r="J73" s="153" t="s">
        <v>106</v>
      </c>
      <c r="K73" s="153"/>
      <c r="L73" s="153"/>
      <c r="M73" s="91"/>
      <c r="N73" s="91"/>
    </row>
    <row r="74" spans="1:26" ht="45" x14ac:dyDescent="0.25">
      <c r="C74" s="532"/>
      <c r="D74" s="559"/>
      <c r="E74" s="137" t="s">
        <v>86</v>
      </c>
      <c r="F74" s="137" t="s">
        <v>87</v>
      </c>
      <c r="G74" s="137" t="s">
        <v>88</v>
      </c>
      <c r="H74" s="154" t="s">
        <v>89</v>
      </c>
      <c r="I74" s="154" t="s">
        <v>90</v>
      </c>
      <c r="J74" s="32" t="s">
        <v>103</v>
      </c>
      <c r="K74" s="32" t="s">
        <v>104</v>
      </c>
      <c r="L74" s="32" t="s">
        <v>105</v>
      </c>
      <c r="M74" s="32" t="s">
        <v>113</v>
      </c>
      <c r="N74" s="32" t="s">
        <v>114</v>
      </c>
      <c r="S74" s="135" t="s">
        <v>117</v>
      </c>
    </row>
    <row r="75" spans="1:26" x14ac:dyDescent="0.25">
      <c r="B75" s="33" t="s">
        <v>82</v>
      </c>
      <c r="C75" s="158">
        <v>0.30930000000000002</v>
      </c>
      <c r="D75" s="35">
        <v>0.22611376396934094</v>
      </c>
      <c r="E75" s="164">
        <f t="shared" ref="E75:E87" si="23">T57</f>
        <v>0.20346860034998376</v>
      </c>
      <c r="F75" s="159">
        <f>MIN(D57,F57,H57,J57,L57,N57,P57,R57)</f>
        <v>0.1259911893080515</v>
      </c>
      <c r="G75" s="159">
        <f t="shared" ref="G75:G87" si="24">MAX(D57,F57,H57,J57,L57,N57,P57,R57)</f>
        <v>0.26595443420772169</v>
      </c>
      <c r="H75" s="160">
        <f t="shared" ref="H75:H87" si="25">STDEV(D57,F57,H57,J57,L57,N57,P57,R57)</f>
        <v>4.5323718717390306E-2</v>
      </c>
      <c r="I75" s="161">
        <f>H75/E75</f>
        <v>0.22275534721047646</v>
      </c>
      <c r="J75" s="36">
        <f>E75+SQRT((1/0.05)-1)*(H75/SQRT(8))</f>
        <v>0.27331714193201073</v>
      </c>
      <c r="K75" s="36">
        <f>E75-(SQRT((1/0.05)-1)*H75/SQRT(8))</f>
        <v>0.1336200587679568</v>
      </c>
      <c r="L75" s="38">
        <f>SQRT((1/0.05)-1)*(H75/SQRT(8))</f>
        <v>6.9848541582026982E-2</v>
      </c>
      <c r="M75" s="112">
        <f>(J75-K75)/2</f>
        <v>6.9848541582026968E-2</v>
      </c>
      <c r="N75" s="62">
        <f>M75/E75</f>
        <v>0.34328904539511934</v>
      </c>
      <c r="O75" s="39">
        <f>E75-F75</f>
        <v>7.7477411041932259E-2</v>
      </c>
      <c r="P75" s="40">
        <f>G75-E75</f>
        <v>6.2485833857737927E-2</v>
      </c>
      <c r="Q75" s="155">
        <f>C75/E75</f>
        <v>1.5201362739409274</v>
      </c>
      <c r="R75" s="39">
        <f>G75-F75</f>
        <v>0.13996324489967019</v>
      </c>
      <c r="S75" s="49">
        <f>E75/C75</f>
        <v>0.65783575929513016</v>
      </c>
      <c r="T75" s="39"/>
    </row>
    <row r="76" spans="1:26" x14ac:dyDescent="0.25">
      <c r="B76" s="41" t="s">
        <v>31</v>
      </c>
      <c r="C76" s="43">
        <v>0.1033</v>
      </c>
      <c r="D76" s="43">
        <v>0.12621046204246816</v>
      </c>
      <c r="E76" s="140">
        <f t="shared" si="23"/>
        <v>0.12935913499794788</v>
      </c>
      <c r="F76" s="44">
        <f t="shared" ref="F76:F87" si="26">MIN(D58,F58,H58,J58,L58,N58,P58,R58)</f>
        <v>9.7627891623808416E-2</v>
      </c>
      <c r="G76" s="44">
        <f t="shared" si="24"/>
        <v>0.19178378249817812</v>
      </c>
      <c r="H76" s="46">
        <f t="shared" si="25"/>
        <v>3.0203530023908885E-2</v>
      </c>
      <c r="I76" s="45">
        <f t="shared" ref="I76:I87" si="27">H76/E76</f>
        <v>0.23348586881311495</v>
      </c>
      <c r="J76" s="44">
        <f t="shared" ref="J76:J87" si="28">E76+SQRT((1/0.05)-1)*(H76/SQRT(8))</f>
        <v>0.17590590085256733</v>
      </c>
      <c r="K76" s="44">
        <f t="shared" ref="K76:K87" si="29">E76-(SQRT((1/0.05)-1)*H76/SQRT(8))</f>
        <v>8.2812369143328415E-2</v>
      </c>
      <c r="L76" s="46">
        <f t="shared" ref="L76:L87" si="30">SQRT((1/0.05)-1)*(H76/SQRT(8))</f>
        <v>4.6546765854619455E-2</v>
      </c>
      <c r="M76" s="113">
        <f t="shared" ref="M76:M87" si="31">(J76-K76)/2</f>
        <v>4.6546765854619455E-2</v>
      </c>
      <c r="N76" s="60">
        <f t="shared" ref="N76:N87" si="32">M76/E76</f>
        <v>0.3598258898017358</v>
      </c>
      <c r="O76" s="39">
        <f t="shared" ref="O76:O87" si="33">E76-F76</f>
        <v>3.1731243374139462E-2</v>
      </c>
      <c r="P76" s="40">
        <f t="shared" ref="P76:P87" si="34">G76-E76</f>
        <v>6.2424647500230246E-2</v>
      </c>
      <c r="Q76" s="155">
        <f>C76/E76</f>
        <v>0.79855203114676621</v>
      </c>
      <c r="R76" s="39">
        <f t="shared" ref="R76:R87" si="35">G76-F76</f>
        <v>9.4155890874369708E-2</v>
      </c>
      <c r="S76" s="49">
        <f t="shared" ref="S76:S87" si="36">E76/C76</f>
        <v>1.2522665537071431</v>
      </c>
      <c r="T76" s="39"/>
    </row>
    <row r="77" spans="1:26" x14ac:dyDescent="0.25">
      <c r="B77" s="33" t="s">
        <v>37</v>
      </c>
      <c r="C77" s="35">
        <v>5.6899999999999999E-2</v>
      </c>
      <c r="D77" s="35">
        <v>9.870587327859015E-2</v>
      </c>
      <c r="E77" s="157">
        <f t="shared" si="23"/>
        <v>7.4496853925911988E-2</v>
      </c>
      <c r="F77" s="36">
        <f t="shared" si="26"/>
        <v>4.3083549492035987E-2</v>
      </c>
      <c r="G77" s="36">
        <f t="shared" si="24"/>
        <v>0.11835097617063614</v>
      </c>
      <c r="H77" s="38">
        <f t="shared" si="25"/>
        <v>2.4250266791235556E-2</v>
      </c>
      <c r="I77" s="37">
        <f t="shared" si="27"/>
        <v>0.32552068326741335</v>
      </c>
      <c r="J77" s="36">
        <f t="shared" si="28"/>
        <v>0.1118690249718185</v>
      </c>
      <c r="K77" s="36">
        <f t="shared" si="29"/>
        <v>3.7124682880005484E-2</v>
      </c>
      <c r="L77" s="38">
        <f>SQRT((1/0.05)-1)*(H77/SQRT(8))</f>
        <v>3.7372171045906503E-2</v>
      </c>
      <c r="M77" s="112">
        <f t="shared" si="31"/>
        <v>3.737217104590651E-2</v>
      </c>
      <c r="N77" s="62">
        <f t="shared" si="32"/>
        <v>0.5016610645474181</v>
      </c>
      <c r="O77" s="39">
        <f t="shared" si="33"/>
        <v>3.1413304433876001E-2</v>
      </c>
      <c r="P77" s="40">
        <f t="shared" si="34"/>
        <v>4.3854122244724153E-2</v>
      </c>
      <c r="Q77" s="155">
        <f>C77/E77</f>
        <v>0.76379064351613735</v>
      </c>
      <c r="R77" s="39">
        <f t="shared" si="35"/>
        <v>7.5267426678600147E-2</v>
      </c>
      <c r="S77" s="49">
        <f>E77/C77</f>
        <v>1.3092592957102283</v>
      </c>
      <c r="T77" s="39"/>
    </row>
    <row r="78" spans="1:26" x14ac:dyDescent="0.25">
      <c r="B78" s="41" t="s">
        <v>83</v>
      </c>
      <c r="C78" s="43">
        <v>1.6899999999999998E-2</v>
      </c>
      <c r="D78" s="43">
        <v>2.2590783766282978E-2</v>
      </c>
      <c r="E78" s="140">
        <f t="shared" si="23"/>
        <v>2.327619648203811E-2</v>
      </c>
      <c r="F78" s="44">
        <f t="shared" si="26"/>
        <v>6.7545066852104044E-3</v>
      </c>
      <c r="G78" s="44">
        <f t="shared" si="24"/>
        <v>6.1040790537762846E-2</v>
      </c>
      <c r="H78" s="46">
        <f t="shared" si="25"/>
        <v>1.6513927470857878E-2</v>
      </c>
      <c r="I78" s="45">
        <f t="shared" si="27"/>
        <v>0.70947706097950436</v>
      </c>
      <c r="J78" s="44">
        <f t="shared" si="28"/>
        <v>4.8725867918380697E-2</v>
      </c>
      <c r="K78" s="44">
        <f t="shared" si="29"/>
        <v>-2.1734749543044773E-3</v>
      </c>
      <c r="L78" s="46">
        <f t="shared" si="30"/>
        <v>2.5449671436342587E-2</v>
      </c>
      <c r="M78" s="113">
        <f t="shared" si="31"/>
        <v>2.5449671436342587E-2</v>
      </c>
      <c r="N78" s="60">
        <f t="shared" si="32"/>
        <v>1.0933775823718328</v>
      </c>
      <c r="O78" s="39">
        <f t="shared" si="33"/>
        <v>1.6521689796827707E-2</v>
      </c>
      <c r="P78" s="40">
        <f t="shared" si="34"/>
        <v>3.7764594055724736E-2</v>
      </c>
      <c r="Q78" s="155">
        <f>C78/E78</f>
        <v>0.72606364244439481</v>
      </c>
      <c r="R78" s="39">
        <f t="shared" si="35"/>
        <v>5.4286283852552443E-2</v>
      </c>
      <c r="S78" s="49">
        <f t="shared" si="36"/>
        <v>1.3772897326649771</v>
      </c>
      <c r="T78" s="39"/>
    </row>
    <row r="79" spans="1:26" x14ac:dyDescent="0.25">
      <c r="B79" s="33" t="s">
        <v>46</v>
      </c>
      <c r="C79" s="35">
        <v>2.3199999999999998E-2</v>
      </c>
      <c r="D79" s="35">
        <v>2.8504511241045284E-2</v>
      </c>
      <c r="E79" s="157">
        <f>T61</f>
        <v>2.833245215003535E-2</v>
      </c>
      <c r="F79" s="36">
        <f t="shared" si="26"/>
        <v>6.6155993787452641E-3</v>
      </c>
      <c r="G79" s="36">
        <f t="shared" si="24"/>
        <v>5.7702396022015191E-2</v>
      </c>
      <c r="H79" s="38">
        <f t="shared" si="25"/>
        <v>1.7574280855481801E-2</v>
      </c>
      <c r="I79" s="37">
        <f>H79/E79</f>
        <v>0.62028802739758171</v>
      </c>
      <c r="J79" s="36">
        <f t="shared" si="28"/>
        <v>5.5416237899445754E-2</v>
      </c>
      <c r="K79" s="36">
        <f t="shared" si="29"/>
        <v>1.2486664006249454E-3</v>
      </c>
      <c r="L79" s="38">
        <f t="shared" si="30"/>
        <v>2.7083785749410404E-2</v>
      </c>
      <c r="M79" s="112">
        <f t="shared" si="31"/>
        <v>2.7083785749410404E-2</v>
      </c>
      <c r="N79" s="62">
        <f t="shared" si="32"/>
        <v>0.95592805049091423</v>
      </c>
      <c r="O79" s="39">
        <f t="shared" si="33"/>
        <v>2.1716852771290086E-2</v>
      </c>
      <c r="P79" s="40">
        <f t="shared" si="34"/>
        <v>2.9369943871979842E-2</v>
      </c>
      <c r="Q79" s="156">
        <f>C79/E79</f>
        <v>0.81884899609619755</v>
      </c>
      <c r="R79" s="39">
        <f t="shared" si="35"/>
        <v>5.1086796643269927E-2</v>
      </c>
      <c r="S79" s="49">
        <f t="shared" si="36"/>
        <v>1.221226385777386</v>
      </c>
      <c r="T79" s="39"/>
    </row>
    <row r="80" spans="1:26" x14ac:dyDescent="0.25">
      <c r="B80" s="41" t="s">
        <v>47</v>
      </c>
      <c r="C80" s="43">
        <v>0.105</v>
      </c>
      <c r="D80" s="43">
        <v>9.1187119019428636E-2</v>
      </c>
      <c r="E80" s="167">
        <f t="shared" si="23"/>
        <v>0.10887931464308595</v>
      </c>
      <c r="F80" s="44">
        <f t="shared" si="26"/>
        <v>4.0816836073734722E-2</v>
      </c>
      <c r="G80" s="44">
        <f t="shared" si="24"/>
        <v>0.21898216099394369</v>
      </c>
      <c r="H80" s="46">
        <f t="shared" si="25"/>
        <v>6.317595999617559E-2</v>
      </c>
      <c r="I80" s="45">
        <f t="shared" si="27"/>
        <v>0.58023840619561973</v>
      </c>
      <c r="J80" s="44">
        <f t="shared" si="28"/>
        <v>0.20624000775594414</v>
      </c>
      <c r="K80" s="44">
        <f t="shared" si="29"/>
        <v>1.1518621530227771E-2</v>
      </c>
      <c r="L80" s="46">
        <f t="shared" si="30"/>
        <v>9.7360693112858179E-2</v>
      </c>
      <c r="M80" s="113">
        <f t="shared" si="31"/>
        <v>9.7360693112858193E-2</v>
      </c>
      <c r="N80" s="60">
        <f t="shared" si="32"/>
        <v>0.89420743905316991</v>
      </c>
      <c r="O80" s="39">
        <f t="shared" si="33"/>
        <v>6.8062478569351229E-2</v>
      </c>
      <c r="P80" s="40">
        <f t="shared" si="34"/>
        <v>0.11010284635085774</v>
      </c>
      <c r="Q80" s="155">
        <f t="shared" ref="Q80:Q87" si="37">C80/E80</f>
        <v>0.96437050824757098</v>
      </c>
      <c r="R80" s="39">
        <f t="shared" si="35"/>
        <v>0.17816532492020898</v>
      </c>
      <c r="S80" s="49">
        <f t="shared" si="36"/>
        <v>1.0369458537436758</v>
      </c>
      <c r="T80" s="39"/>
    </row>
    <row r="81" spans="2:24" x14ac:dyDescent="0.25">
      <c r="B81" s="33" t="s">
        <v>50</v>
      </c>
      <c r="C81" s="35">
        <v>0.1143</v>
      </c>
      <c r="D81" s="35">
        <v>0.18350233790553844</v>
      </c>
      <c r="E81" s="141">
        <f t="shared" si="23"/>
        <v>0.17621178347791761</v>
      </c>
      <c r="F81" s="36">
        <f t="shared" si="26"/>
        <v>0.14095890950369683</v>
      </c>
      <c r="G81" s="36">
        <f t="shared" si="24"/>
        <v>0.22108924162522864</v>
      </c>
      <c r="H81" s="38">
        <f t="shared" si="25"/>
        <v>2.6448334317027422E-2</v>
      </c>
      <c r="I81" s="37">
        <f t="shared" si="27"/>
        <v>0.15009401638762629</v>
      </c>
      <c r="J81" s="36">
        <f t="shared" si="28"/>
        <v>0.21697140408268981</v>
      </c>
      <c r="K81" s="36">
        <f t="shared" si="29"/>
        <v>0.1354521628731454</v>
      </c>
      <c r="L81" s="38">
        <f t="shared" si="30"/>
        <v>4.0759620604772194E-2</v>
      </c>
      <c r="M81" s="112">
        <f t="shared" si="31"/>
        <v>4.0759620604772201E-2</v>
      </c>
      <c r="N81" s="62">
        <f t="shared" si="32"/>
        <v>0.23131041409543471</v>
      </c>
      <c r="O81" s="39">
        <f t="shared" si="33"/>
        <v>3.5252873974220778E-2</v>
      </c>
      <c r="P81" s="40">
        <f t="shared" si="34"/>
        <v>4.4877458147311033E-2</v>
      </c>
      <c r="Q81" s="155">
        <f t="shared" si="37"/>
        <v>0.64865128621959478</v>
      </c>
      <c r="R81" s="39">
        <f t="shared" si="35"/>
        <v>8.0130332121531811E-2</v>
      </c>
      <c r="S81" s="49">
        <f t="shared" si="36"/>
        <v>1.5416603978820438</v>
      </c>
      <c r="T81" s="39"/>
    </row>
    <row r="82" spans="2:24" x14ac:dyDescent="0.25">
      <c r="B82" s="41" t="s">
        <v>56</v>
      </c>
      <c r="C82" s="43">
        <v>2.4400000000000002E-2</v>
      </c>
      <c r="D82" s="43">
        <v>3.5013714023170849E-2</v>
      </c>
      <c r="E82" s="167">
        <f>T64</f>
        <v>3.9772238973150499E-2</v>
      </c>
      <c r="F82" s="44">
        <f t="shared" si="26"/>
        <v>1.8153479123607305E-2</v>
      </c>
      <c r="G82" s="44">
        <f t="shared" si="24"/>
        <v>8.8507146924422811E-2</v>
      </c>
      <c r="H82" s="46">
        <f t="shared" si="25"/>
        <v>2.4300730153147512E-2</v>
      </c>
      <c r="I82" s="45">
        <f t="shared" si="27"/>
        <v>0.61099728807202647</v>
      </c>
      <c r="J82" s="44">
        <f t="shared" si="28"/>
        <v>7.7222179282758735E-2</v>
      </c>
      <c r="K82" s="44">
        <f t="shared" si="29"/>
        <v>2.3222986635422632E-3</v>
      </c>
      <c r="L82" s="46">
        <f t="shared" si="30"/>
        <v>3.7449940309608243E-2</v>
      </c>
      <c r="M82" s="113">
        <f t="shared" si="31"/>
        <v>3.7449940309608236E-2</v>
      </c>
      <c r="N82" s="60">
        <f t="shared" si="32"/>
        <v>0.94161005959181721</v>
      </c>
      <c r="O82" s="39">
        <f t="shared" si="33"/>
        <v>2.1618759849543194E-2</v>
      </c>
      <c r="P82" s="40">
        <f t="shared" si="34"/>
        <v>4.8734907951272312E-2</v>
      </c>
      <c r="Q82" s="155">
        <f>C82/E82</f>
        <v>0.6134932462935262</v>
      </c>
      <c r="R82" s="39">
        <f t="shared" si="35"/>
        <v>7.0353667800815506E-2</v>
      </c>
      <c r="S82" s="49">
        <f t="shared" si="36"/>
        <v>1.6300097939815776</v>
      </c>
      <c r="T82" s="39"/>
    </row>
    <row r="83" spans="2:24" x14ac:dyDescent="0.25">
      <c r="B83" s="33" t="s">
        <v>57</v>
      </c>
      <c r="C83" s="35">
        <v>5.7500000000000002E-2</v>
      </c>
      <c r="D83" s="35">
        <v>6.5246665055814695E-2</v>
      </c>
      <c r="E83" s="141">
        <f t="shared" si="23"/>
        <v>8.5683284991755509E-2</v>
      </c>
      <c r="F83" s="36">
        <f t="shared" si="26"/>
        <v>3.6998723049778096E-2</v>
      </c>
      <c r="G83" s="36">
        <f t="shared" si="24"/>
        <v>0.126565057272441</v>
      </c>
      <c r="H83" s="38">
        <f t="shared" si="25"/>
        <v>3.139594576602691E-2</v>
      </c>
      <c r="I83" s="37">
        <f t="shared" si="27"/>
        <v>0.36641855840433574</v>
      </c>
      <c r="J83" s="36">
        <f t="shared" si="28"/>
        <v>0.13406768692089321</v>
      </c>
      <c r="K83" s="36">
        <f t="shared" si="29"/>
        <v>3.7298883062617805E-2</v>
      </c>
      <c r="L83" s="38">
        <f t="shared" si="30"/>
        <v>4.8384401929137712E-2</v>
      </c>
      <c r="M83" s="112">
        <f t="shared" si="31"/>
        <v>4.8384401929137705E-2</v>
      </c>
      <c r="N83" s="62">
        <f t="shared" si="32"/>
        <v>0.56468892309384822</v>
      </c>
      <c r="O83" s="39">
        <f t="shared" si="33"/>
        <v>4.8684561941977414E-2</v>
      </c>
      <c r="P83" s="40">
        <f t="shared" si="34"/>
        <v>4.0881772280685486E-2</v>
      </c>
      <c r="Q83" s="155">
        <f t="shared" si="37"/>
        <v>0.67107604482639394</v>
      </c>
      <c r="R83" s="39">
        <f t="shared" si="35"/>
        <v>8.9566334222662899E-2</v>
      </c>
      <c r="S83" s="49">
        <f t="shared" si="36"/>
        <v>1.4901440868131393</v>
      </c>
      <c r="T83" s="39"/>
    </row>
    <row r="84" spans="2:24" x14ac:dyDescent="0.25">
      <c r="B84" s="41" t="s">
        <v>60</v>
      </c>
      <c r="C84" s="43">
        <v>2.87E-2</v>
      </c>
      <c r="D84" s="43">
        <v>4.0337855118482362E-2</v>
      </c>
      <c r="E84" s="140">
        <f t="shared" si="23"/>
        <v>3.4378086860261628E-2</v>
      </c>
      <c r="F84" s="44">
        <f t="shared" si="26"/>
        <v>2.1046024700832642E-2</v>
      </c>
      <c r="G84" s="44">
        <f t="shared" si="24"/>
        <v>5.0606854586599817E-2</v>
      </c>
      <c r="H84" s="46">
        <f t="shared" si="25"/>
        <v>9.927877939921283E-3</v>
      </c>
      <c r="I84" s="45">
        <f t="shared" si="27"/>
        <v>0.28878506184115588</v>
      </c>
      <c r="J84" s="44">
        <f t="shared" si="28"/>
        <v>4.9677974308416015E-2</v>
      </c>
      <c r="K84" s="44">
        <f t="shared" si="29"/>
        <v>1.9078199412107241E-2</v>
      </c>
      <c r="L84" s="46">
        <f t="shared" si="30"/>
        <v>1.5299887448154388E-2</v>
      </c>
      <c r="M84" s="113">
        <f t="shared" si="31"/>
        <v>1.5299887448154387E-2</v>
      </c>
      <c r="N84" s="60">
        <f t="shared" si="32"/>
        <v>0.44504766976547078</v>
      </c>
      <c r="O84" s="39">
        <f t="shared" si="33"/>
        <v>1.3332062159428986E-2</v>
      </c>
      <c r="P84" s="40">
        <f t="shared" si="34"/>
        <v>1.6228767726338189E-2</v>
      </c>
      <c r="Q84" s="155">
        <f t="shared" si="37"/>
        <v>0.83483412316276817</v>
      </c>
      <c r="R84" s="39">
        <f t="shared" si="35"/>
        <v>2.9560829885767175E-2</v>
      </c>
      <c r="S84" s="49">
        <f t="shared" si="36"/>
        <v>1.1978427477443077</v>
      </c>
      <c r="T84" s="39"/>
    </row>
    <row r="85" spans="2:24" x14ac:dyDescent="0.25">
      <c r="B85" s="33" t="s">
        <v>67</v>
      </c>
      <c r="C85" s="35">
        <v>2.5700000000000001E-2</v>
      </c>
      <c r="D85" s="35">
        <v>1.6677595960460041E-2</v>
      </c>
      <c r="E85" s="157">
        <f t="shared" si="23"/>
        <v>2.0777465887744918E-2</v>
      </c>
      <c r="F85" s="36">
        <f t="shared" si="26"/>
        <v>0</v>
      </c>
      <c r="G85" s="36">
        <f t="shared" si="24"/>
        <v>5.7652670582628518E-2</v>
      </c>
      <c r="H85" s="38">
        <f t="shared" si="25"/>
        <v>2.2014830265160015E-2</v>
      </c>
      <c r="I85" s="37">
        <f t="shared" si="27"/>
        <v>1.0595531901772932</v>
      </c>
      <c r="J85" s="36">
        <f t="shared" si="28"/>
        <v>5.4704597877629324E-2</v>
      </c>
      <c r="K85" s="36">
        <f t="shared" si="29"/>
        <v>-1.3149666102139492E-2</v>
      </c>
      <c r="L85" s="38">
        <f t="shared" si="30"/>
        <v>3.3927131989884403E-2</v>
      </c>
      <c r="M85" s="112">
        <f t="shared" si="31"/>
        <v>3.392713198988441E-2</v>
      </c>
      <c r="N85" s="62">
        <f t="shared" si="32"/>
        <v>1.6328811306048396</v>
      </c>
      <c r="O85" s="39">
        <f t="shared" si="33"/>
        <v>2.0777465887744918E-2</v>
      </c>
      <c r="P85" s="40">
        <f t="shared" si="34"/>
        <v>3.6875204694883604E-2</v>
      </c>
      <c r="Q85" s="155">
        <f t="shared" si="37"/>
        <v>1.2369169627735266</v>
      </c>
      <c r="R85" s="39">
        <f t="shared" si="35"/>
        <v>5.7652670582628518E-2</v>
      </c>
      <c r="S85" s="49">
        <f t="shared" si="36"/>
        <v>0.80846170769435477</v>
      </c>
      <c r="T85" s="39"/>
    </row>
    <row r="86" spans="2:24" x14ac:dyDescent="0.25">
      <c r="B86" s="41" t="s">
        <v>69</v>
      </c>
      <c r="C86" s="43">
        <v>8.0999999999999996E-3</v>
      </c>
      <c r="D86" s="43">
        <v>8.6654674950381386E-3</v>
      </c>
      <c r="E86" s="260">
        <f t="shared" si="23"/>
        <v>2.7741784701904395E-3</v>
      </c>
      <c r="F86" s="44">
        <f t="shared" si="26"/>
        <v>0</v>
      </c>
      <c r="G86" s="44">
        <f t="shared" si="24"/>
        <v>8.2298040782850107E-3</v>
      </c>
      <c r="H86" s="46">
        <f t="shared" si="25"/>
        <v>2.6378609698076254E-3</v>
      </c>
      <c r="I86" s="45">
        <f>H86/E86</f>
        <v>0.95086202930071173</v>
      </c>
      <c r="J86" s="44">
        <f t="shared" si="28"/>
        <v>6.8393952452323013E-3</v>
      </c>
      <c r="K86" s="44">
        <f t="shared" si="29"/>
        <v>-1.2910383048514227E-3</v>
      </c>
      <c r="L86" s="46">
        <f t="shared" si="30"/>
        <v>4.0652167750418623E-3</v>
      </c>
      <c r="M86" s="113">
        <f t="shared" si="31"/>
        <v>4.0652167750418623E-3</v>
      </c>
      <c r="N86" s="60">
        <f t="shared" si="32"/>
        <v>1.465376802078201</v>
      </c>
      <c r="O86" s="39">
        <f t="shared" si="33"/>
        <v>2.7741784701904395E-3</v>
      </c>
      <c r="P86" s="40">
        <f t="shared" si="34"/>
        <v>5.4556256080945716E-3</v>
      </c>
      <c r="Q86" s="155">
        <f>C86/E86</f>
        <v>2.9197833113613476</v>
      </c>
      <c r="R86" s="39">
        <f t="shared" si="35"/>
        <v>8.2298040782850107E-3</v>
      </c>
      <c r="S86" s="49">
        <f t="shared" si="36"/>
        <v>0.34249116915931355</v>
      </c>
      <c r="T86" s="39"/>
    </row>
    <row r="87" spans="2:24" x14ac:dyDescent="0.25">
      <c r="B87" s="47" t="s">
        <v>74</v>
      </c>
      <c r="C87" s="35">
        <v>0.12670000000000001</v>
      </c>
      <c r="D87" s="35">
        <v>5.7233624762730154E-2</v>
      </c>
      <c r="E87" s="157">
        <f t="shared" si="23"/>
        <v>7.258772572918587E-2</v>
      </c>
      <c r="F87" s="36">
        <f t="shared" si="26"/>
        <v>4.3381492015019466E-2</v>
      </c>
      <c r="G87" s="36">
        <f t="shared" si="24"/>
        <v>0.10992303163989642</v>
      </c>
      <c r="H87" s="38">
        <f t="shared" si="25"/>
        <v>2.4738549860615414E-2</v>
      </c>
      <c r="I87" s="37">
        <f t="shared" si="27"/>
        <v>0.34080899507598994</v>
      </c>
      <c r="J87" s="36">
        <f t="shared" si="28"/>
        <v>0.11071239152266685</v>
      </c>
      <c r="K87" s="36">
        <f t="shared" si="29"/>
        <v>3.44630599357049E-2</v>
      </c>
      <c r="L87" s="38">
        <f t="shared" si="30"/>
        <v>3.812466579348097E-2</v>
      </c>
      <c r="M87" s="112">
        <f t="shared" si="31"/>
        <v>3.8124665793480977E-2</v>
      </c>
      <c r="N87" s="62">
        <f t="shared" si="32"/>
        <v>0.52522193539605444</v>
      </c>
      <c r="O87" s="39">
        <f t="shared" si="33"/>
        <v>2.9206233714166405E-2</v>
      </c>
      <c r="P87" s="40">
        <f t="shared" si="34"/>
        <v>3.7335305910710548E-2</v>
      </c>
      <c r="Q87" s="136">
        <f t="shared" si="37"/>
        <v>1.7454741656006565</v>
      </c>
      <c r="R87" s="39">
        <f t="shared" si="35"/>
        <v>6.6541539624876953E-2</v>
      </c>
      <c r="S87" s="49">
        <f t="shared" si="36"/>
        <v>0.57291022674969116</v>
      </c>
      <c r="T87" s="39"/>
    </row>
    <row r="88" spans="2:24" x14ac:dyDescent="0.25">
      <c r="C88" s="48"/>
      <c r="D88" s="35">
        <v>0.99998977363839092</v>
      </c>
      <c r="E88" s="49"/>
    </row>
    <row r="89" spans="2:24" x14ac:dyDescent="0.25">
      <c r="B89" s="50"/>
      <c r="C89" s="563" t="s">
        <v>84</v>
      </c>
      <c r="D89" s="564" t="s">
        <v>91</v>
      </c>
      <c r="E89" s="565"/>
      <c r="F89" s="565"/>
      <c r="G89" s="565"/>
      <c r="H89" s="566"/>
      <c r="I89" s="564" t="s">
        <v>92</v>
      </c>
      <c r="J89" s="565"/>
      <c r="K89" s="565"/>
      <c r="L89" s="565"/>
      <c r="M89" s="566"/>
    </row>
    <row r="90" spans="2:24" ht="45" x14ac:dyDescent="0.25">
      <c r="B90" s="50"/>
      <c r="C90" s="563"/>
      <c r="D90" s="165" t="s">
        <v>78</v>
      </c>
      <c r="E90" s="165" t="s">
        <v>93</v>
      </c>
      <c r="F90" s="165" t="s">
        <v>94</v>
      </c>
      <c r="G90" s="166" t="s">
        <v>95</v>
      </c>
      <c r="H90" s="165" t="s">
        <v>90</v>
      </c>
      <c r="I90" s="165" t="s">
        <v>77</v>
      </c>
      <c r="J90" s="165" t="s">
        <v>93</v>
      </c>
      <c r="K90" s="165" t="s">
        <v>94</v>
      </c>
      <c r="L90" s="166" t="s">
        <v>95</v>
      </c>
      <c r="M90" s="165" t="s">
        <v>90</v>
      </c>
      <c r="N90" s="131" t="s">
        <v>115</v>
      </c>
      <c r="P90" t="s">
        <v>116</v>
      </c>
      <c r="R90" s="135" t="s">
        <v>118</v>
      </c>
      <c r="S90" s="135" t="s">
        <v>116</v>
      </c>
      <c r="T90" t="s">
        <v>135</v>
      </c>
      <c r="U90" t="s">
        <v>136</v>
      </c>
      <c r="V90" t="s">
        <v>137</v>
      </c>
    </row>
    <row r="91" spans="2:24" x14ac:dyDescent="0.25">
      <c r="B91" s="51" t="s">
        <v>82</v>
      </c>
      <c r="C91" s="158">
        <v>0.30930000000000002</v>
      </c>
      <c r="D91" s="162">
        <f>AVERAGE(D57,H57,L57,P57)</f>
        <v>0.19942374955129427</v>
      </c>
      <c r="E91" s="52">
        <f t="shared" ref="E91:E103" si="38">MIN(D57,H57,L57,P57)</f>
        <v>0.1259911893080515</v>
      </c>
      <c r="F91" s="53">
        <f t="shared" ref="F91:F103" si="39">MAX(D57,H57,L57,P57)</f>
        <v>0.26595443420772169</v>
      </c>
      <c r="G91" s="86">
        <f t="shared" ref="G91:G103" si="40">STDEV(D57,H57,L57,P57)</f>
        <v>5.9894991637209079E-2</v>
      </c>
      <c r="H91" s="132">
        <f>G91/D91</f>
        <v>0.30034031439070569</v>
      </c>
      <c r="I91" s="163">
        <f t="shared" ref="I91:I103" si="41">AVERAGE(F57,J57,N57,R57)</f>
        <v>0.20751345114867323</v>
      </c>
      <c r="J91" s="52">
        <f t="shared" ref="J91:J103" si="42">MIN(F57,J57,N57,R57)</f>
        <v>0.1794374587644047</v>
      </c>
      <c r="K91" s="53">
        <f t="shared" ref="K91:K103" si="43">MAX(F57,J57,N57,R57)</f>
        <v>0.24860521529116161</v>
      </c>
      <c r="L91" s="88">
        <f t="shared" ref="L91:L103" si="44">STDEV(F57,J57,N57,R57)</f>
        <v>3.4090857694689142E-2</v>
      </c>
      <c r="M91" s="150">
        <f>L91/I91</f>
        <v>0.16428264050345687</v>
      </c>
      <c r="N91" s="39">
        <f>D91-E91</f>
        <v>7.3432560243242767E-2</v>
      </c>
      <c r="O91" s="39">
        <f>F91-D91</f>
        <v>6.6530684656427419E-2</v>
      </c>
      <c r="P91" s="39">
        <f>I91-J91</f>
        <v>2.8075992384268528E-2</v>
      </c>
      <c r="Q91" s="39">
        <f>K91-I91</f>
        <v>4.1091764142488385E-2</v>
      </c>
      <c r="R91" s="156">
        <f>D91/C91</f>
        <v>0.6447583237998521</v>
      </c>
      <c r="S91" s="156">
        <f>I91/C91</f>
        <v>0.67091319479040812</v>
      </c>
      <c r="T91" s="39">
        <f>D91-I91</f>
        <v>-8.0897015973789566E-3</v>
      </c>
      <c r="U91" s="264">
        <f>F91-E91</f>
        <v>0.13996324489967019</v>
      </c>
      <c r="V91" s="264">
        <f>K91-J91</f>
        <v>6.9167756526756913E-2</v>
      </c>
    </row>
    <row r="92" spans="2:24" x14ac:dyDescent="0.25">
      <c r="B92" s="54" t="s">
        <v>31</v>
      </c>
      <c r="C92" s="43">
        <v>0.1033</v>
      </c>
      <c r="D92" s="55">
        <f t="shared" ref="D92:D103" si="45">AVERAGE(D58,H58,L58,P58)</f>
        <v>0.13107203989411825</v>
      </c>
      <c r="E92" s="55">
        <f t="shared" si="38"/>
        <v>9.7627891623808416E-2</v>
      </c>
      <c r="F92" s="56">
        <f t="shared" si="39"/>
        <v>0.19178378249817812</v>
      </c>
      <c r="G92" s="87">
        <f t="shared" si="40"/>
        <v>4.1915412376199196E-2</v>
      </c>
      <c r="H92" s="133">
        <f t="shared" ref="H92:H103" si="46">G92/D92</f>
        <v>0.31978912062449799</v>
      </c>
      <c r="I92" s="89">
        <f t="shared" si="41"/>
        <v>0.12764623010177753</v>
      </c>
      <c r="J92" s="55">
        <f t="shared" si="42"/>
        <v>0.11046930974281378</v>
      </c>
      <c r="K92" s="56">
        <f t="shared" si="43"/>
        <v>0.15029629900576674</v>
      </c>
      <c r="L92" s="85">
        <f t="shared" si="44"/>
        <v>1.9075244444646599E-2</v>
      </c>
      <c r="M92" s="151">
        <f t="shared" ref="M92:M103" si="47">L92/I92</f>
        <v>0.14943836907237396</v>
      </c>
      <c r="N92" s="39">
        <f t="shared" ref="N92:N103" si="48">D92-E92</f>
        <v>3.3444148270309837E-2</v>
      </c>
      <c r="O92" s="39">
        <f t="shared" ref="O92:O103" si="49">F92-D92</f>
        <v>6.0711742604059871E-2</v>
      </c>
      <c r="P92" s="39">
        <f t="shared" ref="P92:P103" si="50">I92-J92</f>
        <v>1.7176920358963746E-2</v>
      </c>
      <c r="Q92" s="39">
        <f t="shared" ref="Q92:Q103" si="51">K92-I92</f>
        <v>2.2650068903989212E-2</v>
      </c>
      <c r="R92" s="156">
        <f t="shared" ref="R92:R103" si="52">D92/C92</f>
        <v>1.268848401685559</v>
      </c>
      <c r="S92" s="156">
        <f t="shared" ref="S92:S103" si="53">I92/C92</f>
        <v>1.2356847057287272</v>
      </c>
      <c r="T92" s="39">
        <f t="shared" ref="T92:T103" si="54">D92-I92</f>
        <v>3.4258097923407227E-3</v>
      </c>
      <c r="U92" s="264">
        <f t="shared" ref="U92:U103" si="55">F92-E92</f>
        <v>9.4155890874369708E-2</v>
      </c>
      <c r="V92" s="264">
        <f t="shared" ref="V92:V103" si="56">K92-J92</f>
        <v>3.9826989262952958E-2</v>
      </c>
    </row>
    <row r="93" spans="2:24" x14ac:dyDescent="0.25">
      <c r="B93" s="51" t="s">
        <v>37</v>
      </c>
      <c r="C93" s="35">
        <v>5.6899999999999999E-2</v>
      </c>
      <c r="D93" s="162">
        <f t="shared" si="45"/>
        <v>8.0900115115521976E-2</v>
      </c>
      <c r="E93" s="52">
        <f t="shared" si="38"/>
        <v>4.6072624061064806E-2</v>
      </c>
      <c r="F93" s="53">
        <f t="shared" si="39"/>
        <v>0.11835097617063614</v>
      </c>
      <c r="G93" s="86">
        <f t="shared" si="40"/>
        <v>2.9890208076521565E-2</v>
      </c>
      <c r="H93" s="134">
        <f t="shared" si="46"/>
        <v>0.36947052589281981</v>
      </c>
      <c r="I93" s="163">
        <f>AVERAGE(F59,J59,N59,R59)</f>
        <v>6.8093592736302028E-2</v>
      </c>
      <c r="J93" s="52">
        <f t="shared" si="42"/>
        <v>4.3083549492035987E-2</v>
      </c>
      <c r="K93" s="53">
        <f t="shared" si="43"/>
        <v>8.48573189623619E-2</v>
      </c>
      <c r="L93" s="84">
        <f t="shared" si="44"/>
        <v>1.9220132055135564E-2</v>
      </c>
      <c r="M93" s="152">
        <f t="shared" si="47"/>
        <v>0.28226050767459265</v>
      </c>
      <c r="N93" s="39">
        <f t="shared" si="48"/>
        <v>3.482749105445717E-2</v>
      </c>
      <c r="O93" s="39">
        <f t="shared" si="49"/>
        <v>3.7450861055114165E-2</v>
      </c>
      <c r="P93" s="39">
        <f t="shared" si="50"/>
        <v>2.5010043244266041E-2</v>
      </c>
      <c r="Q93" s="39">
        <f t="shared" si="51"/>
        <v>1.6763726226059872E-2</v>
      </c>
      <c r="R93" s="156">
        <f>D93/C93</f>
        <v>1.4217946417490681</v>
      </c>
      <c r="S93" s="156">
        <f>I93/C93</f>
        <v>1.1967239496713888</v>
      </c>
      <c r="T93" s="263">
        <f t="shared" si="54"/>
        <v>1.2806522379219948E-2</v>
      </c>
      <c r="U93" s="39">
        <f t="shared" si="55"/>
        <v>7.2278352109571342E-2</v>
      </c>
      <c r="V93" s="39">
        <f t="shared" si="56"/>
        <v>4.1773769470325912E-2</v>
      </c>
    </row>
    <row r="94" spans="2:24" x14ac:dyDescent="0.25">
      <c r="B94" s="54" t="s">
        <v>83</v>
      </c>
      <c r="C94" s="43">
        <v>1.6899999999999998E-2</v>
      </c>
      <c r="D94" s="169">
        <f t="shared" si="45"/>
        <v>2.5804999582151756E-2</v>
      </c>
      <c r="E94" s="55">
        <f t="shared" si="38"/>
        <v>6.7545066852104044E-3</v>
      </c>
      <c r="F94" s="56">
        <f t="shared" si="39"/>
        <v>6.1040790537762846E-2</v>
      </c>
      <c r="G94" s="87">
        <f t="shared" si="40"/>
        <v>2.4558342119170677E-2</v>
      </c>
      <c r="H94" s="133">
        <f t="shared" si="46"/>
        <v>0.95168930505066396</v>
      </c>
      <c r="I94" s="89">
        <f t="shared" si="41"/>
        <v>2.0747393381924457E-2</v>
      </c>
      <c r="J94" s="55">
        <f t="shared" si="42"/>
        <v>1.5807792600731084E-2</v>
      </c>
      <c r="K94" s="56">
        <f t="shared" si="43"/>
        <v>2.4361689000505983E-2</v>
      </c>
      <c r="L94" s="85">
        <f t="shared" si="44"/>
        <v>4.0196741040962897E-3</v>
      </c>
      <c r="M94" s="151">
        <f t="shared" si="47"/>
        <v>0.19374357202858603</v>
      </c>
      <c r="N94" s="39">
        <f t="shared" si="48"/>
        <v>1.905049289694135E-2</v>
      </c>
      <c r="O94" s="39">
        <f t="shared" si="49"/>
        <v>3.5235790955611093E-2</v>
      </c>
      <c r="P94" s="39">
        <f t="shared" si="50"/>
        <v>4.9396007811933727E-3</v>
      </c>
      <c r="Q94" s="39">
        <f t="shared" si="51"/>
        <v>3.6142956185815263E-3</v>
      </c>
      <c r="R94" s="156">
        <f t="shared" si="52"/>
        <v>1.5269230521983288</v>
      </c>
      <c r="S94" s="156">
        <f t="shared" si="53"/>
        <v>1.2276564131316248</v>
      </c>
      <c r="T94" s="39">
        <f t="shared" si="54"/>
        <v>5.0576062002272992E-3</v>
      </c>
      <c r="U94" s="264">
        <f t="shared" si="55"/>
        <v>5.4286283852552443E-2</v>
      </c>
      <c r="V94" s="264">
        <f t="shared" si="56"/>
        <v>8.553896399774899E-3</v>
      </c>
    </row>
    <row r="95" spans="2:24" x14ac:dyDescent="0.25">
      <c r="B95" s="51" t="s">
        <v>46</v>
      </c>
      <c r="C95" s="35">
        <v>2.3199999999999998E-2</v>
      </c>
      <c r="D95" s="52">
        <f t="shared" si="45"/>
        <v>3.1006902496326677E-2</v>
      </c>
      <c r="E95" s="52">
        <f t="shared" si="38"/>
        <v>6.6155993787452641E-3</v>
      </c>
      <c r="F95" s="53">
        <f t="shared" si="39"/>
        <v>5.7702396022015191E-2</v>
      </c>
      <c r="G95" s="86">
        <f t="shared" si="40"/>
        <v>2.0929612597824894E-2</v>
      </c>
      <c r="H95" s="134">
        <f t="shared" si="46"/>
        <v>0.67499849752178187</v>
      </c>
      <c r="I95" s="163">
        <f t="shared" si="41"/>
        <v>2.5658001803744022E-2</v>
      </c>
      <c r="J95" s="52">
        <f t="shared" si="42"/>
        <v>1.3401604400057292E-2</v>
      </c>
      <c r="K95" s="53">
        <f t="shared" si="43"/>
        <v>4.9399373900884544E-2</v>
      </c>
      <c r="L95" s="84">
        <f t="shared" si="44"/>
        <v>1.6233914144861115E-2</v>
      </c>
      <c r="M95" s="152">
        <f t="shared" si="47"/>
        <v>0.63270375725409211</v>
      </c>
      <c r="N95" s="39">
        <f t="shared" si="48"/>
        <v>2.4391303117581413E-2</v>
      </c>
      <c r="O95" s="39">
        <f t="shared" si="49"/>
        <v>2.6695493525688514E-2</v>
      </c>
      <c r="P95" s="39">
        <f t="shared" si="50"/>
        <v>1.225639740368673E-2</v>
      </c>
      <c r="Q95" s="39">
        <f t="shared" si="51"/>
        <v>2.3741372097140521E-2</v>
      </c>
      <c r="R95" s="156">
        <f t="shared" si="52"/>
        <v>1.3365044179451155</v>
      </c>
      <c r="S95" s="156">
        <f t="shared" si="53"/>
        <v>1.1059483536096562</v>
      </c>
      <c r="T95" s="39">
        <f t="shared" si="54"/>
        <v>5.3489006925826546E-3</v>
      </c>
      <c r="U95" s="39">
        <f t="shared" si="55"/>
        <v>5.1086796643269927E-2</v>
      </c>
      <c r="V95" s="39">
        <f t="shared" si="56"/>
        <v>3.5997769500827254E-2</v>
      </c>
    </row>
    <row r="96" spans="2:24" x14ac:dyDescent="0.25">
      <c r="B96" s="54" t="s">
        <v>47</v>
      </c>
      <c r="C96" s="43">
        <v>0.105</v>
      </c>
      <c r="D96" s="169">
        <f t="shared" si="45"/>
        <v>9.9957666090133193E-2</v>
      </c>
      <c r="E96" s="55">
        <f t="shared" si="38"/>
        <v>4.0816836073734722E-2</v>
      </c>
      <c r="F96" s="56">
        <f t="shared" si="39"/>
        <v>0.21898216099394369</v>
      </c>
      <c r="G96" s="87">
        <f t="shared" si="40"/>
        <v>8.3379522416450025E-2</v>
      </c>
      <c r="H96" s="133">
        <f t="shared" si="46"/>
        <v>0.83414835177589652</v>
      </c>
      <c r="I96" s="168">
        <f t="shared" si="41"/>
        <v>0.11780096319603868</v>
      </c>
      <c r="J96" s="55">
        <f t="shared" si="42"/>
        <v>8.6332316395432193E-2</v>
      </c>
      <c r="K96" s="56">
        <f t="shared" si="43"/>
        <v>0.18453718532993546</v>
      </c>
      <c r="L96" s="85">
        <f t="shared" si="44"/>
        <v>4.6350881586954225E-2</v>
      </c>
      <c r="M96" s="151">
        <f t="shared" si="47"/>
        <v>0.3934677640098691</v>
      </c>
      <c r="N96" s="39">
        <f t="shared" si="48"/>
        <v>5.9140830016398471E-2</v>
      </c>
      <c r="O96" s="39">
        <f t="shared" si="49"/>
        <v>0.11902449490381049</v>
      </c>
      <c r="P96" s="39">
        <f t="shared" si="50"/>
        <v>3.1468646800606487E-2</v>
      </c>
      <c r="Q96" s="39">
        <f t="shared" si="51"/>
        <v>6.673622213389678E-2</v>
      </c>
      <c r="R96" s="156">
        <f t="shared" si="52"/>
        <v>0.95197777228698288</v>
      </c>
      <c r="S96" s="156">
        <f t="shared" si="53"/>
        <v>1.1219139352003684</v>
      </c>
      <c r="T96" s="263">
        <f t="shared" si="54"/>
        <v>-1.7843297105905487E-2</v>
      </c>
      <c r="U96" s="264">
        <f t="shared" si="55"/>
        <v>0.17816532492020898</v>
      </c>
      <c r="V96" s="264">
        <f t="shared" si="56"/>
        <v>9.8204868934503267E-2</v>
      </c>
      <c r="X96" t="s">
        <v>134</v>
      </c>
    </row>
    <row r="97" spans="2:22" x14ac:dyDescent="0.25">
      <c r="B97" s="51" t="s">
        <v>50</v>
      </c>
      <c r="C97" s="35">
        <v>0.1143</v>
      </c>
      <c r="D97" s="52">
        <f t="shared" si="45"/>
        <v>0.17518784566422416</v>
      </c>
      <c r="E97" s="52">
        <f t="shared" si="38"/>
        <v>0.14095890950369683</v>
      </c>
      <c r="F97" s="53">
        <f t="shared" si="39"/>
        <v>0.19574788697124892</v>
      </c>
      <c r="G97" s="86">
        <f t="shared" si="40"/>
        <v>2.5606492358613623E-2</v>
      </c>
      <c r="H97" s="134">
        <f t="shared" si="46"/>
        <v>0.14616591842617099</v>
      </c>
      <c r="I97" s="163">
        <f t="shared" si="41"/>
        <v>0.17723572129161097</v>
      </c>
      <c r="J97" s="52">
        <f t="shared" si="42"/>
        <v>0.15271500927851134</v>
      </c>
      <c r="K97" s="53">
        <f t="shared" si="43"/>
        <v>0.22108924162522864</v>
      </c>
      <c r="L97" s="84">
        <f t="shared" si="44"/>
        <v>3.120435746874186E-2</v>
      </c>
      <c r="M97" s="152">
        <f t="shared" si="47"/>
        <v>0.17606133369356419</v>
      </c>
      <c r="N97" s="39">
        <f t="shared" si="48"/>
        <v>3.4228936160527329E-2</v>
      </c>
      <c r="O97" s="39">
        <f t="shared" si="49"/>
        <v>2.0560041307024768E-2</v>
      </c>
      <c r="P97" s="39">
        <f t="shared" si="50"/>
        <v>2.4520712013099633E-2</v>
      </c>
      <c r="Q97" s="39">
        <f t="shared" si="51"/>
        <v>4.3853520333617668E-2</v>
      </c>
      <c r="R97" s="156">
        <f t="shared" si="52"/>
        <v>1.532702061804236</v>
      </c>
      <c r="S97" s="156">
        <f t="shared" si="53"/>
        <v>1.5506187339598509</v>
      </c>
      <c r="T97" s="39">
        <f t="shared" si="54"/>
        <v>-2.0478756273868137E-3</v>
      </c>
      <c r="U97" s="39">
        <f t="shared" si="55"/>
        <v>5.4788977467552097E-2</v>
      </c>
      <c r="V97" s="39">
        <f t="shared" si="56"/>
        <v>6.8374232346717301E-2</v>
      </c>
    </row>
    <row r="98" spans="2:22" x14ac:dyDescent="0.25">
      <c r="B98" s="54" t="s">
        <v>56</v>
      </c>
      <c r="C98" s="43">
        <v>2.4400000000000002E-2</v>
      </c>
      <c r="D98" s="178">
        <f t="shared" si="45"/>
        <v>5.1570999863136846E-2</v>
      </c>
      <c r="E98" s="55">
        <f t="shared" si="38"/>
        <v>2.8372681426248443E-2</v>
      </c>
      <c r="F98" s="56">
        <f t="shared" si="39"/>
        <v>8.8507146924422811E-2</v>
      </c>
      <c r="G98" s="87">
        <f t="shared" si="40"/>
        <v>2.887718392661949E-2</v>
      </c>
      <c r="H98" s="133">
        <f t="shared" si="46"/>
        <v>0.55995004950953098</v>
      </c>
      <c r="I98" s="168">
        <f t="shared" si="41"/>
        <v>2.7973478083164152E-2</v>
      </c>
      <c r="J98" s="55">
        <f t="shared" si="42"/>
        <v>1.8153479123607305E-2</v>
      </c>
      <c r="K98" s="56">
        <f t="shared" si="43"/>
        <v>4.6250044687314126E-2</v>
      </c>
      <c r="L98" s="85">
        <f t="shared" si="44"/>
        <v>1.3144290001424509E-2</v>
      </c>
      <c r="M98" s="151">
        <f t="shared" si="47"/>
        <v>0.46988400807175296</v>
      </c>
      <c r="N98" s="39">
        <f t="shared" si="48"/>
        <v>2.3198318436888403E-2</v>
      </c>
      <c r="O98" s="39">
        <f t="shared" si="49"/>
        <v>3.6936147061285965E-2</v>
      </c>
      <c r="P98" s="39">
        <f t="shared" si="50"/>
        <v>9.8199989595568471E-3</v>
      </c>
      <c r="Q98" s="39">
        <f t="shared" si="51"/>
        <v>1.8276566604149974E-2</v>
      </c>
      <c r="R98" s="156">
        <f t="shared" si="52"/>
        <v>2.1135655681613459</v>
      </c>
      <c r="S98" s="156">
        <f t="shared" si="53"/>
        <v>1.1464540198018094</v>
      </c>
      <c r="T98" s="263">
        <f t="shared" si="54"/>
        <v>2.3597521779972694E-2</v>
      </c>
      <c r="U98" s="264">
        <f t="shared" si="55"/>
        <v>6.0134465498174368E-2</v>
      </c>
      <c r="V98" s="264">
        <f t="shared" si="56"/>
        <v>2.8096565563706821E-2</v>
      </c>
    </row>
    <row r="99" spans="2:22" x14ac:dyDescent="0.25">
      <c r="B99" s="51" t="s">
        <v>57</v>
      </c>
      <c r="C99" s="35">
        <v>5.7500000000000002E-2</v>
      </c>
      <c r="D99" s="52">
        <f t="shared" si="45"/>
        <v>6.7699027013008409E-2</v>
      </c>
      <c r="E99" s="52">
        <f t="shared" si="38"/>
        <v>3.6998723049778096E-2</v>
      </c>
      <c r="F99" s="53">
        <f t="shared" si="39"/>
        <v>9.203485422166581E-2</v>
      </c>
      <c r="G99" s="86">
        <f t="shared" si="40"/>
        <v>2.4391250706136736E-2</v>
      </c>
      <c r="H99" s="134">
        <f t="shared" si="46"/>
        <v>0.36028953121364571</v>
      </c>
      <c r="I99" s="163">
        <f t="shared" si="41"/>
        <v>0.1036675429705026</v>
      </c>
      <c r="J99" s="52">
        <f t="shared" si="42"/>
        <v>6.5123370324336266E-2</v>
      </c>
      <c r="K99" s="53">
        <f t="shared" si="43"/>
        <v>0.126565057272441</v>
      </c>
      <c r="L99" s="84">
        <f t="shared" si="44"/>
        <v>2.9026828167549045E-2</v>
      </c>
      <c r="M99" s="152">
        <f t="shared" si="47"/>
        <v>0.27999919102749732</v>
      </c>
      <c r="N99" s="39">
        <f t="shared" si="48"/>
        <v>3.0700303963230313E-2</v>
      </c>
      <c r="O99" s="39">
        <f t="shared" si="49"/>
        <v>2.4335827208657401E-2</v>
      </c>
      <c r="P99" s="39">
        <f t="shared" si="50"/>
        <v>3.854417264616633E-2</v>
      </c>
      <c r="Q99" s="39">
        <f t="shared" si="51"/>
        <v>2.2897514301938399E-2</v>
      </c>
      <c r="R99" s="156">
        <f t="shared" si="52"/>
        <v>1.1773743828349288</v>
      </c>
      <c r="S99" s="156">
        <f t="shared" si="53"/>
        <v>1.8029137907913495</v>
      </c>
      <c r="T99" s="263">
        <f t="shared" si="54"/>
        <v>-3.5968515957494188E-2</v>
      </c>
      <c r="U99" s="39">
        <f t="shared" si="55"/>
        <v>5.5036131171887714E-2</v>
      </c>
      <c r="V99" s="39">
        <f t="shared" si="56"/>
        <v>6.1441686948104729E-2</v>
      </c>
    </row>
    <row r="100" spans="2:22" x14ac:dyDescent="0.25">
      <c r="B100" s="54" t="s">
        <v>60</v>
      </c>
      <c r="C100" s="43">
        <v>2.87E-2</v>
      </c>
      <c r="D100" s="55">
        <f t="shared" si="45"/>
        <v>3.4729026147947713E-2</v>
      </c>
      <c r="E100" s="55">
        <f t="shared" si="38"/>
        <v>2.1046024700832642E-2</v>
      </c>
      <c r="F100" s="56">
        <f t="shared" si="39"/>
        <v>4.3554381006105959E-2</v>
      </c>
      <c r="G100" s="87">
        <f t="shared" si="40"/>
        <v>9.6183264514686888E-3</v>
      </c>
      <c r="H100" s="133">
        <f t="shared" si="46"/>
        <v>0.27695353190999505</v>
      </c>
      <c r="I100" s="168">
        <f t="shared" si="41"/>
        <v>3.4027147572575522E-2</v>
      </c>
      <c r="J100" s="55">
        <f t="shared" si="42"/>
        <v>2.3282416643991465E-2</v>
      </c>
      <c r="K100" s="56">
        <f t="shared" si="43"/>
        <v>5.0606854586599817E-2</v>
      </c>
      <c r="L100" s="85">
        <f t="shared" si="44"/>
        <v>1.1710642516953388E-2</v>
      </c>
      <c r="M100" s="151">
        <f t="shared" si="47"/>
        <v>0.34415586825125721</v>
      </c>
      <c r="N100" s="39">
        <f t="shared" si="48"/>
        <v>1.3683001447115071E-2</v>
      </c>
      <c r="O100" s="39">
        <f t="shared" si="49"/>
        <v>8.8253548581582464E-3</v>
      </c>
      <c r="P100" s="39">
        <f t="shared" si="50"/>
        <v>1.0744730928584058E-2</v>
      </c>
      <c r="Q100" s="39">
        <f t="shared" si="51"/>
        <v>1.6579707014024295E-2</v>
      </c>
      <c r="R100" s="156">
        <f t="shared" si="52"/>
        <v>1.2100705974894674</v>
      </c>
      <c r="S100" s="156">
        <f t="shared" si="53"/>
        <v>1.1856148979991472</v>
      </c>
      <c r="T100" s="39">
        <f t="shared" si="54"/>
        <v>7.0187857537219039E-4</v>
      </c>
      <c r="U100" s="39">
        <f t="shared" si="55"/>
        <v>2.2508356305273317E-2</v>
      </c>
      <c r="V100" s="39">
        <f t="shared" si="56"/>
        <v>2.7324437942608353E-2</v>
      </c>
    </row>
    <row r="101" spans="2:22" x14ac:dyDescent="0.25">
      <c r="B101" s="51" t="s">
        <v>67</v>
      </c>
      <c r="C101" s="35">
        <v>2.5700000000000001E-2</v>
      </c>
      <c r="D101" s="162">
        <f t="shared" si="45"/>
        <v>1.8801227011208461E-2</v>
      </c>
      <c r="E101" s="52">
        <f t="shared" si="38"/>
        <v>2.4748924606106642E-4</v>
      </c>
      <c r="F101" s="53">
        <f t="shared" si="39"/>
        <v>5.7652670582628518E-2</v>
      </c>
      <c r="G101" s="86">
        <f t="shared" si="40"/>
        <v>2.6622355073531345E-2</v>
      </c>
      <c r="H101" s="134">
        <f t="shared" si="46"/>
        <v>1.4159902998703366</v>
      </c>
      <c r="I101" s="163">
        <f t="shared" si="41"/>
        <v>2.2753704764281381E-2</v>
      </c>
      <c r="J101" s="52">
        <f t="shared" si="42"/>
        <v>0</v>
      </c>
      <c r="K101" s="53">
        <f t="shared" si="43"/>
        <v>4.373016998137573E-2</v>
      </c>
      <c r="L101" s="84">
        <f t="shared" si="44"/>
        <v>2.0290192470468947E-2</v>
      </c>
      <c r="M101" s="152">
        <f t="shared" si="47"/>
        <v>0.8917313765238073</v>
      </c>
      <c r="N101" s="39">
        <f t="shared" si="48"/>
        <v>1.8553737765147394E-2</v>
      </c>
      <c r="O101" s="39">
        <f t="shared" si="49"/>
        <v>3.8851443571420056E-2</v>
      </c>
      <c r="P101" s="39">
        <f t="shared" si="50"/>
        <v>2.2753704764281381E-2</v>
      </c>
      <c r="Q101" s="39">
        <f t="shared" si="51"/>
        <v>2.0976465217094349E-2</v>
      </c>
      <c r="R101" s="156">
        <f t="shared" si="52"/>
        <v>0.7315652533544148</v>
      </c>
      <c r="S101" s="156">
        <f t="shared" si="53"/>
        <v>0.88535816203429496</v>
      </c>
      <c r="T101" s="39">
        <f t="shared" si="54"/>
        <v>-3.9524777530729194E-3</v>
      </c>
      <c r="U101" s="39">
        <f t="shared" si="55"/>
        <v>5.7405181336567454E-2</v>
      </c>
      <c r="V101" s="39">
        <f t="shared" si="56"/>
        <v>4.373016998137573E-2</v>
      </c>
    </row>
    <row r="102" spans="2:22" x14ac:dyDescent="0.25">
      <c r="B102" s="54" t="s">
        <v>69</v>
      </c>
      <c r="C102" s="43">
        <v>8.0999999999999996E-3</v>
      </c>
      <c r="D102" s="261">
        <f t="shared" si="45"/>
        <v>3.5768031825112777E-3</v>
      </c>
      <c r="E102" s="55">
        <f t="shared" si="38"/>
        <v>1.1041687714576358E-3</v>
      </c>
      <c r="F102" s="56">
        <f t="shared" si="39"/>
        <v>8.2298040782850107E-3</v>
      </c>
      <c r="G102" s="87">
        <f t="shared" si="40"/>
        <v>3.275933228971619E-3</v>
      </c>
      <c r="H102" s="133">
        <f t="shared" si="46"/>
        <v>0.91588299993391931</v>
      </c>
      <c r="I102" s="262">
        <f t="shared" si="41"/>
        <v>1.9715537578696013E-3</v>
      </c>
      <c r="J102" s="55">
        <f t="shared" si="42"/>
        <v>0</v>
      </c>
      <c r="K102" s="56">
        <f t="shared" si="43"/>
        <v>4.4265748140657262E-3</v>
      </c>
      <c r="L102" s="85">
        <f t="shared" si="44"/>
        <v>1.9458765359579267E-3</v>
      </c>
      <c r="M102" s="151">
        <f t="shared" si="47"/>
        <v>0.98697614923804022</v>
      </c>
      <c r="N102" s="39">
        <f t="shared" si="48"/>
        <v>2.4726344110536421E-3</v>
      </c>
      <c r="O102" s="39">
        <f t="shared" si="49"/>
        <v>4.653000895773733E-3</v>
      </c>
      <c r="P102" s="39">
        <f t="shared" si="50"/>
        <v>1.9715537578696013E-3</v>
      </c>
      <c r="Q102" s="39">
        <f t="shared" si="51"/>
        <v>2.4550210561961249E-3</v>
      </c>
      <c r="R102" s="156">
        <f t="shared" si="52"/>
        <v>0.44158063981620715</v>
      </c>
      <c r="S102" s="156">
        <f t="shared" si="53"/>
        <v>0.24340169850241994</v>
      </c>
      <c r="T102" s="39">
        <f t="shared" si="54"/>
        <v>1.6052494246416764E-3</v>
      </c>
      <c r="U102" s="39">
        <f t="shared" si="55"/>
        <v>7.1256353068273751E-3</v>
      </c>
      <c r="V102" s="39">
        <f t="shared" si="56"/>
        <v>4.4265748140657262E-3</v>
      </c>
    </row>
    <row r="103" spans="2:22" x14ac:dyDescent="0.25">
      <c r="B103" s="57" t="s">
        <v>74</v>
      </c>
      <c r="C103" s="35">
        <v>0.12670000000000001</v>
      </c>
      <c r="D103" s="162">
        <f t="shared" si="45"/>
        <v>8.0264232266835989E-2</v>
      </c>
      <c r="E103" s="52">
        <f t="shared" si="38"/>
        <v>5.5118501480810947E-2</v>
      </c>
      <c r="F103" s="53">
        <f t="shared" si="39"/>
        <v>0.10992303163989642</v>
      </c>
      <c r="G103" s="86">
        <f t="shared" si="40"/>
        <v>2.2541159216244784E-2</v>
      </c>
      <c r="H103" s="134">
        <f t="shared" si="46"/>
        <v>0.28083691302630776</v>
      </c>
      <c r="I103" s="163">
        <f t="shared" si="41"/>
        <v>6.4911219191535738E-2</v>
      </c>
      <c r="J103" s="52">
        <f t="shared" si="42"/>
        <v>4.3381492015019466E-2</v>
      </c>
      <c r="K103" s="53">
        <f t="shared" si="43"/>
        <v>0.10545420333343508</v>
      </c>
      <c r="L103" s="84">
        <f t="shared" si="44"/>
        <v>2.7617804323938847E-2</v>
      </c>
      <c r="M103" s="152">
        <f t="shared" si="47"/>
        <v>0.42547042973335708</v>
      </c>
      <c r="N103" s="39">
        <f t="shared" si="48"/>
        <v>2.5145730786025042E-2</v>
      </c>
      <c r="O103" s="39">
        <f t="shared" si="49"/>
        <v>2.9658799373060429E-2</v>
      </c>
      <c r="P103" s="39">
        <f t="shared" si="50"/>
        <v>2.1529727176516272E-2</v>
      </c>
      <c r="Q103" s="39">
        <f t="shared" si="51"/>
        <v>4.0542984141899344E-2</v>
      </c>
      <c r="R103" s="156">
        <f t="shared" si="52"/>
        <v>0.63349828150620346</v>
      </c>
      <c r="S103" s="156">
        <f t="shared" si="53"/>
        <v>0.51232217199317864</v>
      </c>
      <c r="T103" s="39">
        <f t="shared" si="54"/>
        <v>1.5353013075300251E-2</v>
      </c>
      <c r="U103" s="39">
        <f t="shared" si="55"/>
        <v>5.4804530159085471E-2</v>
      </c>
      <c r="V103" s="39">
        <f t="shared" si="56"/>
        <v>6.2072711318415616E-2</v>
      </c>
    </row>
    <row r="105" spans="2:22" x14ac:dyDescent="0.25">
      <c r="C105" s="531" t="s">
        <v>91</v>
      </c>
      <c r="D105" s="531"/>
      <c r="E105" s="531"/>
      <c r="F105" s="531"/>
      <c r="G105" s="531"/>
      <c r="H105" s="531" t="s">
        <v>92</v>
      </c>
      <c r="I105" s="531"/>
      <c r="J105" s="531"/>
      <c r="K105" s="531"/>
      <c r="L105" s="531"/>
    </row>
    <row r="106" spans="2:22" ht="25.5" x14ac:dyDescent="0.25">
      <c r="C106" s="114" t="s">
        <v>103</v>
      </c>
      <c r="D106" s="114" t="s">
        <v>104</v>
      </c>
      <c r="E106" s="114" t="s">
        <v>105</v>
      </c>
      <c r="F106" s="114" t="s">
        <v>113</v>
      </c>
      <c r="G106" s="114" t="s">
        <v>114</v>
      </c>
      <c r="H106" s="114" t="s">
        <v>103</v>
      </c>
      <c r="I106" s="114" t="s">
        <v>104</v>
      </c>
      <c r="J106" s="114" t="s">
        <v>105</v>
      </c>
      <c r="K106" s="114" t="s">
        <v>113</v>
      </c>
      <c r="L106" s="114" t="s">
        <v>114</v>
      </c>
    </row>
    <row r="107" spans="2:22" x14ac:dyDescent="0.25">
      <c r="B107" s="51" t="s">
        <v>82</v>
      </c>
      <c r="C107" s="115">
        <f t="shared" ref="C107:C119" si="57">D91+SQRT((1/0.05)-1)*(G91/SQRT(4))</f>
        <v>0.32996185743669837</v>
      </c>
      <c r="D107" s="67">
        <f t="shared" ref="D107:D119" si="58">D91-(SQRT((1/0.05)-1)*G91/SQRT(4))</f>
        <v>6.8885641665890202E-2</v>
      </c>
      <c r="E107" s="67">
        <f t="shared" ref="E107:E119" si="59">SQRT((1/0.05)-1)*(G91/SQRT(4))</f>
        <v>0.13053810788540407</v>
      </c>
      <c r="F107" s="115">
        <f>(C107-D107)/2</f>
        <v>0.1305381078854041</v>
      </c>
      <c r="G107" s="67">
        <f t="shared" ref="G107:G119" si="60">F107/D91</f>
        <v>0.6545765395501606</v>
      </c>
      <c r="H107" s="67">
        <f t="shared" ref="H107:H119" si="61">I91+SQRT((1/0.05)-1)*(L91/SQRT(4))</f>
        <v>0.28181275294356123</v>
      </c>
      <c r="I107" s="67">
        <f t="shared" ref="I107:I119" si="62">I91-(SQRT((1/0.05)-1)*L91/SQRT(4))</f>
        <v>0.13321414935378526</v>
      </c>
      <c r="J107" s="115">
        <f t="shared" ref="J107:J119" si="63">SQRT((1/0.05)-1)*(L91/SQRT(4))</f>
        <v>7.4299301794887973E-2</v>
      </c>
      <c r="K107" s="115">
        <f>(H107-I107)/2</f>
        <v>7.4299301794887987E-2</v>
      </c>
      <c r="L107" s="115">
        <f t="shared" ref="L107:L119" si="64">K107/I91</f>
        <v>0.35804571406629526</v>
      </c>
    </row>
    <row r="108" spans="2:22" x14ac:dyDescent="0.25">
      <c r="B108" s="54" t="s">
        <v>31</v>
      </c>
      <c r="C108" s="116">
        <f t="shared" si="57"/>
        <v>0.22242456325646143</v>
      </c>
      <c r="D108" s="117">
        <f t="shared" si="58"/>
        <v>3.9719516531775065E-2</v>
      </c>
      <c r="E108" s="117">
        <f t="shared" si="59"/>
        <v>9.1352523362343188E-2</v>
      </c>
      <c r="F108" s="116">
        <f t="shared" ref="F108:F119" si="65">(C108-D108)/2</f>
        <v>9.1352523362343174E-2</v>
      </c>
      <c r="G108" s="117">
        <f t="shared" si="60"/>
        <v>0.69696423002296271</v>
      </c>
      <c r="H108" s="117">
        <f t="shared" si="61"/>
        <v>0.16921976153055263</v>
      </c>
      <c r="I108" s="117">
        <f t="shared" si="62"/>
        <v>8.6072698673002448E-2</v>
      </c>
      <c r="J108" s="116">
        <f t="shared" si="63"/>
        <v>4.1573531428775082E-2</v>
      </c>
      <c r="K108" s="116">
        <f t="shared" ref="K108:K119" si="66">(H108-I108)/2</f>
        <v>4.1573531428775089E-2</v>
      </c>
      <c r="L108" s="118">
        <f t="shared" si="64"/>
        <v>0.32569337453700609</v>
      </c>
    </row>
    <row r="109" spans="2:22" x14ac:dyDescent="0.25">
      <c r="B109" s="51" t="s">
        <v>37</v>
      </c>
      <c r="C109" s="115">
        <f t="shared" si="57"/>
        <v>0.14604431331900236</v>
      </c>
      <c r="D109" s="67">
        <f t="shared" si="58"/>
        <v>1.575591691204159E-2</v>
      </c>
      <c r="E109" s="67">
        <f t="shared" si="59"/>
        <v>6.5144198203480386E-2</v>
      </c>
      <c r="F109" s="115">
        <f t="shared" si="65"/>
        <v>6.5144198203480386E-2</v>
      </c>
      <c r="G109" s="67">
        <f t="shared" si="60"/>
        <v>0.8052423424918147</v>
      </c>
      <c r="H109" s="67">
        <f t="shared" si="61"/>
        <v>0.10998289939122335</v>
      </c>
      <c r="I109" s="67">
        <f t="shared" si="62"/>
        <v>2.6204286081380701E-2</v>
      </c>
      <c r="J109" s="115">
        <f t="shared" si="63"/>
        <v>4.1889306654921327E-2</v>
      </c>
      <c r="K109" s="115">
        <f t="shared" si="66"/>
        <v>4.1889306654921327E-2</v>
      </c>
      <c r="L109" s="115">
        <f t="shared" si="64"/>
        <v>0.61517251435301812</v>
      </c>
    </row>
    <row r="110" spans="2:22" x14ac:dyDescent="0.25">
      <c r="B110" s="54" t="s">
        <v>83</v>
      </c>
      <c r="C110" s="116">
        <f t="shared" si="57"/>
        <v>7.932866534133351E-2</v>
      </c>
      <c r="D110" s="117">
        <f t="shared" si="58"/>
        <v>-2.7718666177029994E-2</v>
      </c>
      <c r="E110" s="117">
        <f t="shared" si="59"/>
        <v>5.352366575918175E-2</v>
      </c>
      <c r="F110" s="116">
        <f t="shared" si="65"/>
        <v>5.352366575918175E-2</v>
      </c>
      <c r="G110" s="117">
        <f t="shared" si="60"/>
        <v>2.0741587531821484</v>
      </c>
      <c r="H110" s="117">
        <f t="shared" si="61"/>
        <v>2.9508069984786018E-2</v>
      </c>
      <c r="I110" s="117">
        <f t="shared" si="62"/>
        <v>1.1986716779062895E-2</v>
      </c>
      <c r="J110" s="116">
        <f t="shared" si="63"/>
        <v>8.7606766028615612E-3</v>
      </c>
      <c r="K110" s="116">
        <f>(H110-I110)/2</f>
        <v>8.7606766028615612E-3</v>
      </c>
      <c r="L110" s="116">
        <f t="shared" si="64"/>
        <v>0.42225432571660004</v>
      </c>
    </row>
    <row r="111" spans="2:22" x14ac:dyDescent="0.25">
      <c r="B111" s="51" t="s">
        <v>46</v>
      </c>
      <c r="C111" s="115">
        <f t="shared" si="57"/>
        <v>7.6621935617013942E-2</v>
      </c>
      <c r="D111" s="67">
        <f t="shared" si="58"/>
        <v>-1.4608130624360581E-2</v>
      </c>
      <c r="E111" s="67">
        <f t="shared" si="59"/>
        <v>4.5615033120687258E-2</v>
      </c>
      <c r="F111" s="115">
        <f t="shared" si="65"/>
        <v>4.5615033120687265E-2</v>
      </c>
      <c r="G111" s="67">
        <f t="shared" si="60"/>
        <v>1.4711251188696188</v>
      </c>
      <c r="H111" s="67">
        <f t="shared" si="61"/>
        <v>6.1038997411526581E-2</v>
      </c>
      <c r="I111" s="67">
        <f t="shared" si="62"/>
        <v>-9.7229938040385364E-3</v>
      </c>
      <c r="J111" s="115">
        <f t="shared" si="63"/>
        <v>3.5380995607782559E-2</v>
      </c>
      <c r="K111" s="115">
        <f t="shared" si="66"/>
        <v>3.5380995607782559E-2</v>
      </c>
      <c r="L111" s="115">
        <f t="shared" si="64"/>
        <v>1.3789458695345385</v>
      </c>
    </row>
    <row r="112" spans="2:22" x14ac:dyDescent="0.25">
      <c r="B112" s="54" t="s">
        <v>47</v>
      </c>
      <c r="C112" s="116">
        <f t="shared" si="57"/>
        <v>0.28167912217712815</v>
      </c>
      <c r="D112" s="117">
        <f t="shared" si="58"/>
        <v>-8.1763789996861777E-2</v>
      </c>
      <c r="E112" s="117">
        <f t="shared" si="59"/>
        <v>0.18172145608699497</v>
      </c>
      <c r="F112" s="116">
        <f t="shared" si="65"/>
        <v>0.18172145608699497</v>
      </c>
      <c r="G112" s="117">
        <f t="shared" si="60"/>
        <v>1.8179841846560747</v>
      </c>
      <c r="H112" s="117">
        <f t="shared" si="61"/>
        <v>0.2188203675868155</v>
      </c>
      <c r="I112" s="117">
        <f t="shared" si="62"/>
        <v>1.6781558805261859E-2</v>
      </c>
      <c r="J112" s="116">
        <f t="shared" si="63"/>
        <v>0.10101940439077682</v>
      </c>
      <c r="K112" s="116">
        <f t="shared" si="66"/>
        <v>0.10101940439077682</v>
      </c>
      <c r="L112" s="116">
        <f t="shared" si="64"/>
        <v>0.85754311042996478</v>
      </c>
    </row>
    <row r="113" spans="1:14" x14ac:dyDescent="0.25">
      <c r="B113" s="51" t="s">
        <v>50</v>
      </c>
      <c r="C113" s="115">
        <f t="shared" si="57"/>
        <v>0.2309959019090958</v>
      </c>
      <c r="D113" s="67">
        <f t="shared" si="58"/>
        <v>0.11937978941935252</v>
      </c>
      <c r="E113" s="67">
        <f t="shared" si="59"/>
        <v>5.5808056244871632E-2</v>
      </c>
      <c r="F113" s="115">
        <f t="shared" si="65"/>
        <v>5.5808056244871639E-2</v>
      </c>
      <c r="G113" s="68">
        <f t="shared" si="60"/>
        <v>0.3185612337047446</v>
      </c>
      <c r="H113" s="67">
        <f t="shared" si="61"/>
        <v>0.24524404169379319</v>
      </c>
      <c r="I113" s="67">
        <f t="shared" si="62"/>
        <v>0.10922740088942876</v>
      </c>
      <c r="J113" s="115">
        <f t="shared" si="63"/>
        <v>6.8008320402182215E-2</v>
      </c>
      <c r="K113" s="115">
        <f t="shared" si="66"/>
        <v>6.8008320402182215E-2</v>
      </c>
      <c r="L113" s="115">
        <f t="shared" si="64"/>
        <v>0.3837167807176195</v>
      </c>
    </row>
    <row r="114" spans="1:14" x14ac:dyDescent="0.25">
      <c r="B114" s="54" t="s">
        <v>56</v>
      </c>
      <c r="C114" s="116">
        <f t="shared" si="57"/>
        <v>0.11450736311822256</v>
      </c>
      <c r="D114" s="117">
        <f t="shared" si="58"/>
        <v>-1.1365363391948866E-2</v>
      </c>
      <c r="E114" s="117">
        <f t="shared" si="59"/>
        <v>6.2936363255085712E-2</v>
      </c>
      <c r="F114" s="116">
        <f t="shared" si="65"/>
        <v>6.2936363255085712E-2</v>
      </c>
      <c r="G114" s="117">
        <f t="shared" si="60"/>
        <v>1.2203828396213212</v>
      </c>
      <c r="H114" s="117">
        <f t="shared" si="61"/>
        <v>5.662079398356492E-2</v>
      </c>
      <c r="I114" s="117">
        <f t="shared" si="62"/>
        <v>-6.7383781723661523E-4</v>
      </c>
      <c r="J114" s="116">
        <f t="shared" si="63"/>
        <v>2.8647315900400767E-2</v>
      </c>
      <c r="K114" s="116">
        <f t="shared" si="66"/>
        <v>2.8647315900400767E-2</v>
      </c>
      <c r="L114" s="116">
        <f t="shared" si="64"/>
        <v>1.0240884531853107</v>
      </c>
    </row>
    <row r="115" spans="1:14" x14ac:dyDescent="0.25">
      <c r="B115" s="51" t="s">
        <v>57</v>
      </c>
      <c r="C115" s="115">
        <f t="shared" si="57"/>
        <v>0.12085852548031598</v>
      </c>
      <c r="D115" s="67">
        <f t="shared" si="58"/>
        <v>1.4539528545700842E-2</v>
      </c>
      <c r="E115" s="67">
        <f t="shared" si="59"/>
        <v>5.3159498467307567E-2</v>
      </c>
      <c r="F115" s="115">
        <f t="shared" si="65"/>
        <v>5.3159498467307567E-2</v>
      </c>
      <c r="G115" s="67">
        <f t="shared" si="60"/>
        <v>0.78523282848796239</v>
      </c>
      <c r="H115" s="67">
        <f t="shared" si="61"/>
        <v>0.16693004828743568</v>
      </c>
      <c r="I115" s="67">
        <f t="shared" si="62"/>
        <v>4.0405037653569495E-2</v>
      </c>
      <c r="J115" s="115">
        <f t="shared" si="63"/>
        <v>6.3262505316933101E-2</v>
      </c>
      <c r="K115" s="115">
        <f t="shared" si="66"/>
        <v>6.3262505316933088E-2</v>
      </c>
      <c r="L115" s="115">
        <f t="shared" si="64"/>
        <v>0.61024408898100058</v>
      </c>
    </row>
    <row r="116" spans="1:14" x14ac:dyDescent="0.25">
      <c r="B116" s="54" t="s">
        <v>60</v>
      </c>
      <c r="C116" s="116">
        <f t="shared" si="57"/>
        <v>5.5691682651915805E-2</v>
      </c>
      <c r="D116" s="117">
        <f t="shared" si="58"/>
        <v>1.376636964397962E-2</v>
      </c>
      <c r="E116" s="117">
        <f t="shared" si="59"/>
        <v>2.0962656503968093E-2</v>
      </c>
      <c r="F116" s="116">
        <f t="shared" si="65"/>
        <v>2.0962656503968093E-2</v>
      </c>
      <c r="G116" s="117">
        <f t="shared" si="60"/>
        <v>0.60360622882616777</v>
      </c>
      <c r="H116" s="117">
        <f t="shared" si="61"/>
        <v>5.9549901220240835E-2</v>
      </c>
      <c r="I116" s="117">
        <f t="shared" si="62"/>
        <v>8.5043939249102099E-3</v>
      </c>
      <c r="J116" s="116">
        <f t="shared" si="63"/>
        <v>2.5522753647665312E-2</v>
      </c>
      <c r="K116" s="116">
        <f t="shared" si="66"/>
        <v>2.5522753647665312E-2</v>
      </c>
      <c r="L116" s="116">
        <f t="shared" si="64"/>
        <v>0.75007032526686424</v>
      </c>
    </row>
    <row r="117" spans="1:14" x14ac:dyDescent="0.25">
      <c r="B117" s="51" t="s">
        <v>67</v>
      </c>
      <c r="C117" s="115">
        <f t="shared" si="57"/>
        <v>7.68233047134987E-2</v>
      </c>
      <c r="D117" s="67">
        <f t="shared" si="58"/>
        <v>-3.9220850691081777E-2</v>
      </c>
      <c r="E117" s="67">
        <f t="shared" si="59"/>
        <v>5.8022077702290238E-2</v>
      </c>
      <c r="F117" s="115">
        <f t="shared" si="65"/>
        <v>5.8022077702290238E-2</v>
      </c>
      <c r="G117" s="67">
        <f t="shared" si="60"/>
        <v>3.0860793110843265</v>
      </c>
      <c r="H117" s="67">
        <f t="shared" si="61"/>
        <v>6.69751540261634E-2</v>
      </c>
      <c r="I117" s="67">
        <f t="shared" si="62"/>
        <v>-2.1467744497600638E-2</v>
      </c>
      <c r="J117" s="115">
        <f t="shared" si="63"/>
        <v>4.4221449261882019E-2</v>
      </c>
      <c r="K117" s="115">
        <f t="shared" si="66"/>
        <v>4.4221449261882019E-2</v>
      </c>
      <c r="L117" s="115">
        <f t="shared" si="64"/>
        <v>1.9434834775258474</v>
      </c>
    </row>
    <row r="118" spans="1:14" x14ac:dyDescent="0.25">
      <c r="B118" s="54" t="s">
        <v>69</v>
      </c>
      <c r="C118" s="116">
        <f t="shared" si="57"/>
        <v>1.0716534127948367E-2</v>
      </c>
      <c r="D118" s="117">
        <f t="shared" si="58"/>
        <v>-3.5629277629258115E-3</v>
      </c>
      <c r="E118" s="117">
        <f t="shared" si="59"/>
        <v>7.1397309454370892E-3</v>
      </c>
      <c r="F118" s="116">
        <f t="shared" si="65"/>
        <v>7.1397309454370892E-3</v>
      </c>
      <c r="G118" s="117">
        <f t="shared" si="60"/>
        <v>1.996120720409412</v>
      </c>
      <c r="H118" s="117">
        <f t="shared" si="61"/>
        <v>6.212493346293398E-3</v>
      </c>
      <c r="I118" s="117">
        <f t="shared" si="62"/>
        <v>-2.2693858305541954E-3</v>
      </c>
      <c r="J118" s="116">
        <f t="shared" si="63"/>
        <v>4.2409395884237967E-3</v>
      </c>
      <c r="K118" s="116">
        <f t="shared" si="66"/>
        <v>4.2409395884237967E-3</v>
      </c>
      <c r="L118" s="116">
        <f t="shared" si="64"/>
        <v>2.151064647106768</v>
      </c>
    </row>
    <row r="119" spans="1:14" x14ac:dyDescent="0.25">
      <c r="B119" s="57" t="s">
        <v>74</v>
      </c>
      <c r="C119" s="115">
        <f t="shared" si="57"/>
        <v>0.12939154981377174</v>
      </c>
      <c r="D119" s="67">
        <f t="shared" si="58"/>
        <v>3.1136914719900231E-2</v>
      </c>
      <c r="E119" s="67">
        <f t="shared" si="59"/>
        <v>4.9127317546935757E-2</v>
      </c>
      <c r="F119" s="115">
        <f t="shared" si="65"/>
        <v>4.912731754693575E-2</v>
      </c>
      <c r="G119" s="67">
        <f t="shared" si="60"/>
        <v>0.61206986174879841</v>
      </c>
      <c r="H119" s="67">
        <f t="shared" si="61"/>
        <v>0.1251028282368008</v>
      </c>
      <c r="I119" s="67">
        <f t="shared" si="62"/>
        <v>4.7196101462706891E-3</v>
      </c>
      <c r="J119" s="115">
        <f t="shared" si="63"/>
        <v>6.0191609045265049E-2</v>
      </c>
      <c r="K119" s="115">
        <f t="shared" si="66"/>
        <v>6.0191609045265056E-2</v>
      </c>
      <c r="L119" s="115">
        <f t="shared" si="64"/>
        <v>0.92729130333626353</v>
      </c>
    </row>
    <row r="120" spans="1:14" x14ac:dyDescent="0.25">
      <c r="D120" s="39"/>
    </row>
    <row r="121" spans="1:14" x14ac:dyDescent="0.25">
      <c r="D121" s="39"/>
    </row>
    <row r="124" spans="1:14" ht="15.75" thickBot="1" x14ac:dyDescent="0.3"/>
    <row r="125" spans="1:14" ht="22.5" customHeight="1" x14ac:dyDescent="0.25">
      <c r="A125" s="210" t="s">
        <v>20</v>
      </c>
      <c r="B125" s="211" t="s">
        <v>21</v>
      </c>
      <c r="C125" s="212" t="s">
        <v>85</v>
      </c>
      <c r="D125" s="212" t="s">
        <v>92</v>
      </c>
      <c r="E125" s="213" t="s">
        <v>91</v>
      </c>
    </row>
    <row r="126" spans="1:14" ht="18" customHeight="1" x14ac:dyDescent="0.25">
      <c r="A126" s="528" t="s">
        <v>31</v>
      </c>
      <c r="B126" s="58" t="s">
        <v>33</v>
      </c>
      <c r="C126" s="83">
        <f>T12</f>
        <v>1.4562992148882511E-2</v>
      </c>
      <c r="D126" s="83">
        <f>V12</f>
        <v>1.961780726836965E-2</v>
      </c>
      <c r="E126" s="214">
        <f>X12</f>
        <v>9.5081770293953677E-3</v>
      </c>
      <c r="F126" s="39"/>
      <c r="H126" s="39"/>
    </row>
    <row r="127" spans="1:14" ht="18" customHeight="1" x14ac:dyDescent="0.25">
      <c r="A127" s="529"/>
      <c r="B127" s="144" t="s">
        <v>34</v>
      </c>
      <c r="C127" s="145">
        <f>T13</f>
        <v>3.2729346588259087E-2</v>
      </c>
      <c r="D127" s="145">
        <f>V13</f>
        <v>2.3225058816571196E-2</v>
      </c>
      <c r="E127" s="215">
        <f>X13</f>
        <v>4.2233634359946974E-2</v>
      </c>
      <c r="F127" s="39"/>
    </row>
    <row r="128" spans="1:14" ht="18" customHeight="1" x14ac:dyDescent="0.25">
      <c r="A128" s="529"/>
      <c r="B128" s="208" t="s">
        <v>35</v>
      </c>
      <c r="C128" s="61">
        <f>T14</f>
        <v>3.348620770791691E-2</v>
      </c>
      <c r="D128" s="61">
        <f>V14</f>
        <v>3.8634971092175306E-2</v>
      </c>
      <c r="E128" s="216">
        <f>X14</f>
        <v>2.8337444323658499E-2</v>
      </c>
      <c r="F128" s="39"/>
      <c r="J128" s="70"/>
      <c r="K128" s="71"/>
      <c r="L128" s="72"/>
      <c r="M128" s="72"/>
      <c r="N128" s="72"/>
    </row>
    <row r="129" spans="1:14" ht="18" customHeight="1" x14ac:dyDescent="0.25">
      <c r="A129" s="529"/>
      <c r="B129" s="81" t="str">
        <f>B11</f>
        <v>Emballages papier</v>
      </c>
      <c r="C129" s="64">
        <f>T11</f>
        <v>1.0658426592551042E-2</v>
      </c>
      <c r="D129" s="64">
        <f>V11</f>
        <v>8.8678822888206554E-3</v>
      </c>
      <c r="E129" s="217">
        <f>X11</f>
        <v>1.2448970896281428E-2</v>
      </c>
      <c r="F129" s="39"/>
      <c r="J129" s="80"/>
      <c r="K129" s="73"/>
      <c r="L129" s="74"/>
      <c r="M129" s="74"/>
      <c r="N129" s="74"/>
    </row>
    <row r="130" spans="1:14" ht="18" customHeight="1" x14ac:dyDescent="0.25">
      <c r="A130" s="530"/>
      <c r="B130" s="82" t="str">
        <f>B15</f>
        <v xml:space="preserve">Autres papiers </v>
      </c>
      <c r="C130" s="65">
        <f>T15</f>
        <v>3.7922161960338346E-2</v>
      </c>
      <c r="D130" s="65">
        <f>V15</f>
        <v>3.7300510635840722E-2</v>
      </c>
      <c r="E130" s="218">
        <f>X15</f>
        <v>3.854381328483597E-2</v>
      </c>
      <c r="F130" s="39"/>
      <c r="J130" s="80"/>
      <c r="K130" s="73"/>
      <c r="L130" s="74"/>
      <c r="M130" s="74"/>
      <c r="N130" s="74"/>
    </row>
    <row r="131" spans="1:14" ht="18" customHeight="1" x14ac:dyDescent="0.25">
      <c r="A131" s="528" t="s">
        <v>37</v>
      </c>
      <c r="B131" s="144" t="s">
        <v>38</v>
      </c>
      <c r="C131" s="145">
        <f>T16</f>
        <v>3.699387486838792E-2</v>
      </c>
      <c r="D131" s="145">
        <f>V16</f>
        <v>3.557064860611088E-2</v>
      </c>
      <c r="E131" s="215">
        <f>X16</f>
        <v>3.8417101130664967E-2</v>
      </c>
      <c r="F131" s="39"/>
      <c r="J131" s="80"/>
      <c r="K131" s="73"/>
      <c r="L131" s="74"/>
      <c r="M131" s="74"/>
      <c r="N131" s="74"/>
    </row>
    <row r="132" spans="1:14" ht="18" customHeight="1" x14ac:dyDescent="0.25">
      <c r="A132" s="529"/>
      <c r="B132" s="208" t="s">
        <v>39</v>
      </c>
      <c r="C132" s="61">
        <f>T17</f>
        <v>2.7333525664950495E-2</v>
      </c>
      <c r="D132" s="61">
        <f>V17</f>
        <v>2.2800591024800167E-2</v>
      </c>
      <c r="E132" s="216">
        <f>X17</f>
        <v>3.1866460305100819E-2</v>
      </c>
      <c r="F132" s="39"/>
      <c r="J132" s="80"/>
      <c r="K132" s="75"/>
      <c r="L132" s="74"/>
      <c r="M132" s="74"/>
      <c r="N132" s="74"/>
    </row>
    <row r="133" spans="1:14" ht="18" customHeight="1" x14ac:dyDescent="0.25">
      <c r="A133" s="530"/>
      <c r="B133" s="144" t="s">
        <v>40</v>
      </c>
      <c r="C133" s="145">
        <f>T18</f>
        <v>1.0169453392573585E-2</v>
      </c>
      <c r="D133" s="145">
        <f>V18</f>
        <v>9.7223531053909767E-3</v>
      </c>
      <c r="E133" s="215">
        <f>X18</f>
        <v>1.0616553679756191E-2</v>
      </c>
      <c r="F133" s="39"/>
      <c r="J133" s="80"/>
      <c r="K133" s="75"/>
      <c r="L133" s="74"/>
      <c r="M133" s="74"/>
      <c r="N133" s="74"/>
    </row>
    <row r="134" spans="1:14" ht="18" customHeight="1" x14ac:dyDescent="0.25">
      <c r="A134" s="537" t="s">
        <v>41</v>
      </c>
      <c r="B134" s="208" t="s">
        <v>42</v>
      </c>
      <c r="C134" s="146">
        <f>T19</f>
        <v>1.0047418029156339E-2</v>
      </c>
      <c r="D134" s="146">
        <f>V19</f>
        <v>9.0944193156144576E-3</v>
      </c>
      <c r="E134" s="219">
        <f>X19</f>
        <v>1.1000416742698218E-2</v>
      </c>
      <c r="F134" s="39"/>
      <c r="J134" s="80"/>
      <c r="K134" s="73"/>
      <c r="L134" s="74"/>
      <c r="M134" s="74"/>
      <c r="N134" s="74"/>
    </row>
    <row r="135" spans="1:14" ht="18" customHeight="1" x14ac:dyDescent="0.25">
      <c r="A135" s="537"/>
      <c r="B135" s="144" t="s">
        <v>44</v>
      </c>
      <c r="C135" s="145">
        <f>T21</f>
        <v>3.3218060070177736E-3</v>
      </c>
      <c r="D135" s="145">
        <f>V21</f>
        <v>0</v>
      </c>
      <c r="E135" s="215">
        <f>X21</f>
        <v>6.6436120140355472E-3</v>
      </c>
      <c r="F135" s="39"/>
      <c r="J135" s="80"/>
      <c r="K135" s="73"/>
      <c r="L135" s="74"/>
      <c r="M135" s="74"/>
      <c r="N135" s="74"/>
    </row>
    <row r="136" spans="1:14" ht="18" customHeight="1" x14ac:dyDescent="0.25">
      <c r="A136" s="537" t="s">
        <v>50</v>
      </c>
      <c r="B136" s="208" t="s">
        <v>52</v>
      </c>
      <c r="C136" s="61">
        <f>T27</f>
        <v>1.8661189751689952E-2</v>
      </c>
      <c r="D136" s="61">
        <f>V27</f>
        <v>1.9945886962454654E-2</v>
      </c>
      <c r="E136" s="216">
        <f>X27</f>
        <v>1.7376492540925249E-2</v>
      </c>
      <c r="F136" s="39"/>
      <c r="J136" s="80"/>
      <c r="K136" s="73"/>
      <c r="L136" s="74"/>
      <c r="M136" s="74"/>
      <c r="N136" s="74"/>
    </row>
    <row r="137" spans="1:14" ht="18" customHeight="1" x14ac:dyDescent="0.25">
      <c r="A137" s="537"/>
      <c r="B137" s="144" t="s">
        <v>53</v>
      </c>
      <c r="C137" s="145">
        <f>T28</f>
        <v>1.0379142736872998E-2</v>
      </c>
      <c r="D137" s="145">
        <f>V28</f>
        <v>1.0855124372364657E-2</v>
      </c>
      <c r="E137" s="215">
        <f>X28</f>
        <v>9.9031611013813397E-3</v>
      </c>
      <c r="F137" s="39"/>
      <c r="J137" s="80"/>
      <c r="K137" s="73"/>
      <c r="L137" s="74"/>
      <c r="M137" s="74"/>
      <c r="N137" s="74"/>
    </row>
    <row r="138" spans="1:14" ht="18" customHeight="1" x14ac:dyDescent="0.25">
      <c r="A138" s="537" t="s">
        <v>60</v>
      </c>
      <c r="B138" s="208" t="s">
        <v>61</v>
      </c>
      <c r="C138" s="146">
        <f>T34</f>
        <v>2.5742418816373989E-2</v>
      </c>
      <c r="D138" s="146">
        <f>V34</f>
        <v>2.3404174995868936E-2</v>
      </c>
      <c r="E138" s="219">
        <f>X34</f>
        <v>2.8080662636879035E-2</v>
      </c>
      <c r="F138" s="147"/>
      <c r="J138" s="70"/>
      <c r="K138" s="73"/>
      <c r="L138" s="74"/>
      <c r="M138" s="74"/>
      <c r="N138" s="74"/>
    </row>
    <row r="139" spans="1:14" ht="18" customHeight="1" x14ac:dyDescent="0.25">
      <c r="A139" s="537"/>
      <c r="B139" s="144" t="s">
        <v>62</v>
      </c>
      <c r="C139" s="145">
        <f>T35</f>
        <v>4.6012599303623366E-3</v>
      </c>
      <c r="D139" s="145">
        <f>V35</f>
        <v>5.8979006976086351E-3</v>
      </c>
      <c r="E139" s="215">
        <f>X35</f>
        <v>3.3046191631160393E-3</v>
      </c>
      <c r="F139" s="39"/>
      <c r="J139" s="80"/>
      <c r="K139" s="73"/>
      <c r="L139" s="74"/>
      <c r="M139" s="74"/>
      <c r="N139" s="74"/>
    </row>
    <row r="140" spans="1:14" ht="18" customHeight="1" x14ac:dyDescent="0.25">
      <c r="A140" s="537"/>
      <c r="B140" s="208" t="s">
        <v>63</v>
      </c>
      <c r="C140" s="146">
        <f>T36</f>
        <v>0</v>
      </c>
      <c r="D140" s="146">
        <f>V36</f>
        <v>0</v>
      </c>
      <c r="E140" s="219">
        <f>X36</f>
        <v>0</v>
      </c>
      <c r="F140" s="39"/>
      <c r="J140" s="80"/>
      <c r="K140" s="73"/>
      <c r="L140" s="74"/>
      <c r="M140" s="74"/>
      <c r="N140" s="74"/>
    </row>
    <row r="141" spans="1:14" ht="18" customHeight="1" x14ac:dyDescent="0.25">
      <c r="A141" s="537"/>
      <c r="B141" s="144" t="s">
        <v>64</v>
      </c>
      <c r="C141" s="145">
        <f>T37</f>
        <v>0</v>
      </c>
      <c r="D141" s="145">
        <f>V37</f>
        <v>0</v>
      </c>
      <c r="E141" s="215">
        <f>X37</f>
        <v>0</v>
      </c>
      <c r="F141" s="39"/>
      <c r="J141" s="80"/>
      <c r="K141" s="73"/>
      <c r="L141" s="74"/>
      <c r="M141" s="74"/>
      <c r="N141" s="74"/>
    </row>
    <row r="142" spans="1:14" ht="18" customHeight="1" x14ac:dyDescent="0.25">
      <c r="A142" s="220" t="s">
        <v>57</v>
      </c>
      <c r="B142" s="208" t="s">
        <v>58</v>
      </c>
      <c r="C142" s="61">
        <f>T32</f>
        <v>7.159743662463916E-2</v>
      </c>
      <c r="D142" s="62">
        <f>V32</f>
        <v>8.3975654340665368E-2</v>
      </c>
      <c r="E142" s="221">
        <f>X32</f>
        <v>5.921921890861296E-2</v>
      </c>
      <c r="F142" s="39"/>
      <c r="J142" s="80"/>
      <c r="K142" s="73"/>
      <c r="L142" s="74"/>
      <c r="M142" s="74"/>
      <c r="N142" s="74"/>
    </row>
    <row r="143" spans="1:14" ht="30" customHeight="1" thickBot="1" x14ac:dyDescent="0.3">
      <c r="A143" s="520" t="s">
        <v>102</v>
      </c>
      <c r="B143" s="521"/>
      <c r="C143" s="142">
        <f>SUM(C126:C142)</f>
        <v>0.34820666081997242</v>
      </c>
      <c r="D143" s="143">
        <f>SUM(D126:D142)</f>
        <v>0.34891298352265621</v>
      </c>
      <c r="E143" s="222">
        <f>SUM(E126:E142)</f>
        <v>0.34750033811728859</v>
      </c>
      <c r="F143" s="39"/>
      <c r="J143" s="80"/>
      <c r="K143" s="73"/>
      <c r="L143" s="74"/>
      <c r="M143" s="74"/>
      <c r="N143" s="74"/>
    </row>
    <row r="144" spans="1:14" ht="18" customHeight="1" x14ac:dyDescent="0.25">
      <c r="A144" s="220" t="s">
        <v>45</v>
      </c>
      <c r="B144" s="179" t="s">
        <v>46</v>
      </c>
      <c r="C144" s="180">
        <f>T23</f>
        <v>2.833245215003535E-2</v>
      </c>
      <c r="D144" s="180">
        <f>V23</f>
        <v>2.5658001803744022E-2</v>
      </c>
      <c r="E144" s="223">
        <f>X23</f>
        <v>3.1006902496326677E-2</v>
      </c>
      <c r="F144" s="39"/>
      <c r="J144" s="80"/>
      <c r="K144" s="73"/>
      <c r="L144" s="74"/>
      <c r="M144" s="74"/>
      <c r="N144" s="74"/>
    </row>
    <row r="145" spans="1:14" ht="18" customHeight="1" x14ac:dyDescent="0.25">
      <c r="A145" s="538" t="s">
        <v>69</v>
      </c>
      <c r="B145" s="183" t="s">
        <v>121</v>
      </c>
      <c r="C145" s="184">
        <f>T41</f>
        <v>9.9082203198369058E-4</v>
      </c>
      <c r="D145" s="184">
        <f>V41</f>
        <v>1.3372919010273562E-3</v>
      </c>
      <c r="E145" s="224">
        <f>X41</f>
        <v>6.4435216294002502E-4</v>
      </c>
      <c r="F145" s="39"/>
      <c r="J145" s="80"/>
      <c r="K145" s="73"/>
      <c r="L145" s="74"/>
      <c r="M145" s="74"/>
      <c r="N145" s="74"/>
    </row>
    <row r="146" spans="1:14" ht="28.5" customHeight="1" x14ac:dyDescent="0.25">
      <c r="A146" s="538"/>
      <c r="B146" s="182" t="s">
        <v>70</v>
      </c>
      <c r="C146" s="108">
        <f t="shared" ref="C146:C154" si="67">T42</f>
        <v>0</v>
      </c>
      <c r="D146" s="108">
        <f t="shared" ref="D146:D154" si="68">V42</f>
        <v>0</v>
      </c>
      <c r="E146" s="225">
        <f t="shared" ref="E146:E154" si="69">X42</f>
        <v>0</v>
      </c>
      <c r="F146" s="39"/>
      <c r="J146" s="80"/>
      <c r="K146" s="80"/>
      <c r="L146" s="76"/>
      <c r="M146" s="76"/>
      <c r="N146" s="76"/>
    </row>
    <row r="147" spans="1:14" ht="18" customHeight="1" x14ac:dyDescent="0.25">
      <c r="A147" s="538"/>
      <c r="B147" s="183" t="s">
        <v>71</v>
      </c>
      <c r="C147" s="184">
        <f t="shared" si="67"/>
        <v>4.0741604347945606E-4</v>
      </c>
      <c r="D147" s="184">
        <f t="shared" si="68"/>
        <v>0</v>
      </c>
      <c r="E147" s="224">
        <f t="shared" si="69"/>
        <v>8.1483208695891211E-4</v>
      </c>
      <c r="F147" s="39"/>
      <c r="J147" s="70"/>
      <c r="K147" s="73"/>
      <c r="L147" s="74"/>
      <c r="M147" s="74"/>
      <c r="N147" s="74"/>
    </row>
    <row r="148" spans="1:14" ht="18" customHeight="1" x14ac:dyDescent="0.25">
      <c r="A148" s="538"/>
      <c r="B148" s="182" t="s">
        <v>72</v>
      </c>
      <c r="C148" s="108">
        <f t="shared" si="67"/>
        <v>2.5000000000000001E-4</v>
      </c>
      <c r="D148" s="108">
        <f t="shared" si="68"/>
        <v>0</v>
      </c>
      <c r="E148" s="225">
        <f t="shared" si="69"/>
        <v>5.0000000000000001E-4</v>
      </c>
      <c r="F148" s="39"/>
      <c r="J148" s="70"/>
      <c r="K148" s="73"/>
      <c r="L148" s="74"/>
      <c r="M148" s="74"/>
      <c r="N148" s="74"/>
    </row>
    <row r="149" spans="1:14" ht="18" customHeight="1" x14ac:dyDescent="0.25">
      <c r="A149" s="538"/>
      <c r="B149" s="183" t="s">
        <v>122</v>
      </c>
      <c r="C149" s="184">
        <f t="shared" si="67"/>
        <v>4.0741604347945606E-4</v>
      </c>
      <c r="D149" s="184">
        <f t="shared" si="68"/>
        <v>0</v>
      </c>
      <c r="E149" s="224">
        <f t="shared" si="69"/>
        <v>8.1483208695891211E-4</v>
      </c>
      <c r="F149" s="39"/>
      <c r="J149" s="80"/>
      <c r="K149" s="73"/>
      <c r="L149" s="74"/>
      <c r="M149" s="74"/>
      <c r="N149" s="74"/>
    </row>
    <row r="150" spans="1:14" ht="18" customHeight="1" x14ac:dyDescent="0.25">
      <c r="A150" s="226"/>
      <c r="B150" s="182" t="s">
        <v>123</v>
      </c>
      <c r="C150" s="108">
        <f t="shared" si="67"/>
        <v>0</v>
      </c>
      <c r="D150" s="108">
        <f t="shared" si="68"/>
        <v>0</v>
      </c>
      <c r="E150" s="225">
        <f t="shared" si="69"/>
        <v>0</v>
      </c>
      <c r="F150" s="39"/>
      <c r="J150" s="80"/>
      <c r="K150" s="73"/>
      <c r="L150" s="74"/>
      <c r="M150" s="74"/>
      <c r="N150" s="74"/>
    </row>
    <row r="151" spans="1:14" ht="18" customHeight="1" x14ac:dyDescent="0.25">
      <c r="A151" s="226"/>
      <c r="B151" s="183" t="s">
        <v>124</v>
      </c>
      <c r="C151" s="184">
        <f t="shared" si="67"/>
        <v>4.1959997099176675E-4</v>
      </c>
      <c r="D151" s="184">
        <f t="shared" si="68"/>
        <v>4.1141309633010493E-4</v>
      </c>
      <c r="E151" s="224">
        <f t="shared" si="69"/>
        <v>4.2778684565342856E-4</v>
      </c>
      <c r="F151" s="39"/>
      <c r="J151" s="80"/>
      <c r="K151" s="73"/>
      <c r="L151" s="74"/>
      <c r="M151" s="74"/>
      <c r="N151" s="74"/>
    </row>
    <row r="152" spans="1:14" ht="18" customHeight="1" x14ac:dyDescent="0.25">
      <c r="A152" s="226"/>
      <c r="B152" s="182" t="s">
        <v>125</v>
      </c>
      <c r="C152" s="108">
        <f t="shared" si="67"/>
        <v>0</v>
      </c>
      <c r="D152" s="108">
        <f t="shared" si="68"/>
        <v>0</v>
      </c>
      <c r="E152" s="225">
        <f t="shared" si="69"/>
        <v>0</v>
      </c>
      <c r="F152" s="39"/>
      <c r="J152" s="80"/>
      <c r="K152" s="73"/>
      <c r="L152" s="74"/>
      <c r="M152" s="74"/>
      <c r="N152" s="74"/>
    </row>
    <row r="153" spans="1:14" ht="18" customHeight="1" x14ac:dyDescent="0.25">
      <c r="A153" s="226"/>
      <c r="B153" s="183" t="s">
        <v>126</v>
      </c>
      <c r="C153" s="184">
        <f t="shared" si="67"/>
        <v>2.9892438025607007E-4</v>
      </c>
      <c r="D153" s="184">
        <f t="shared" si="68"/>
        <v>2.2284876051214015E-4</v>
      </c>
      <c r="E153" s="224">
        <f t="shared" si="69"/>
        <v>3.7500000000000001E-4</v>
      </c>
      <c r="F153" s="39"/>
      <c r="J153" s="80"/>
      <c r="K153" s="73"/>
      <c r="L153" s="74"/>
      <c r="M153" s="74"/>
      <c r="N153" s="74"/>
    </row>
    <row r="154" spans="1:14" ht="18" customHeight="1" x14ac:dyDescent="0.25">
      <c r="A154" s="226"/>
      <c r="B154" s="182" t="s">
        <v>73</v>
      </c>
      <c r="C154" s="108">
        <f t="shared" si="67"/>
        <v>0</v>
      </c>
      <c r="D154" s="108">
        <f t="shared" si="68"/>
        <v>0</v>
      </c>
      <c r="E154" s="225">
        <f t="shared" si="69"/>
        <v>0</v>
      </c>
      <c r="F154" s="39"/>
      <c r="J154" s="80"/>
      <c r="K154" s="73"/>
      <c r="L154" s="74"/>
      <c r="M154" s="74"/>
      <c r="N154" s="74"/>
    </row>
    <row r="155" spans="1:14" ht="32.25" customHeight="1" thickBot="1" x14ac:dyDescent="0.3">
      <c r="A155" s="522" t="s">
        <v>101</v>
      </c>
      <c r="B155" s="523"/>
      <c r="C155" s="181">
        <f>SUM(C144:C154)</f>
        <v>3.1106630620225791E-2</v>
      </c>
      <c r="D155" s="181">
        <f>SUM(D144:D154)</f>
        <v>2.7629555561613627E-2</v>
      </c>
      <c r="E155" s="227">
        <f>SUM(E144:E154)</f>
        <v>3.4583705678837957E-2</v>
      </c>
      <c r="F155" s="39"/>
      <c r="J155" s="80"/>
      <c r="K155" s="73"/>
      <c r="L155" s="74"/>
      <c r="M155" s="74"/>
      <c r="N155" s="74"/>
    </row>
    <row r="156" spans="1:14" ht="18" customHeight="1" thickBot="1" x14ac:dyDescent="0.3">
      <c r="A156" s="524" t="s">
        <v>25</v>
      </c>
      <c r="B156" s="525"/>
      <c r="C156" s="228">
        <f>C143+C155</f>
        <v>0.37931329144019821</v>
      </c>
      <c r="D156" s="228">
        <f>D143+D155</f>
        <v>0.37654253908426982</v>
      </c>
      <c r="E156" s="229">
        <f>E143+E155</f>
        <v>0.38208404379612654</v>
      </c>
      <c r="J156" s="80"/>
      <c r="K156" s="73"/>
      <c r="L156" s="74"/>
      <c r="M156" s="74"/>
      <c r="N156" s="74"/>
    </row>
    <row r="157" spans="1:14" x14ac:dyDescent="0.25">
      <c r="J157" s="80"/>
      <c r="K157" s="73"/>
      <c r="L157" s="74"/>
      <c r="M157" s="74"/>
      <c r="N157" s="74"/>
    </row>
    <row r="158" spans="1:14" ht="38.25" customHeight="1" x14ac:dyDescent="0.25">
      <c r="B158" t="s">
        <v>96</v>
      </c>
      <c r="C158" s="39">
        <f>1-C156</f>
        <v>0.62068670855980179</v>
      </c>
      <c r="J158" s="80"/>
      <c r="K158" s="80"/>
      <c r="L158" s="76"/>
      <c r="M158" s="76"/>
      <c r="N158" s="76"/>
    </row>
    <row r="159" spans="1:14" x14ac:dyDescent="0.25">
      <c r="C159" s="39"/>
      <c r="J159" s="77"/>
      <c r="K159" s="78"/>
      <c r="L159" s="76"/>
      <c r="M159" s="76"/>
      <c r="N159" s="76"/>
    </row>
    <row r="160" spans="1:14" x14ac:dyDescent="0.25">
      <c r="B160" t="s">
        <v>131</v>
      </c>
      <c r="C160" s="39">
        <f>C143-C142</f>
        <v>0.27660922419533329</v>
      </c>
      <c r="J160" s="79"/>
      <c r="K160" s="79"/>
      <c r="L160" s="79"/>
      <c r="M160" s="79"/>
      <c r="N160" s="79"/>
    </row>
    <row r="161" spans="1:14" x14ac:dyDescent="0.25">
      <c r="B161" t="s">
        <v>57</v>
      </c>
      <c r="C161" s="39">
        <f>C142</f>
        <v>7.159743662463916E-2</v>
      </c>
      <c r="J161" s="79"/>
      <c r="K161" s="79"/>
      <c r="L161" s="79"/>
      <c r="M161" s="79"/>
      <c r="N161" s="79"/>
    </row>
    <row r="162" spans="1:14" x14ac:dyDescent="0.25">
      <c r="B162" t="s">
        <v>45</v>
      </c>
      <c r="C162" s="39">
        <f>C144</f>
        <v>2.833245215003535E-2</v>
      </c>
    </row>
    <row r="163" spans="1:14" x14ac:dyDescent="0.25">
      <c r="B163" t="s">
        <v>69</v>
      </c>
      <c r="C163" s="39">
        <f>SUM(C145:C154)</f>
        <v>2.7741784701904395E-3</v>
      </c>
    </row>
    <row r="168" spans="1:14" x14ac:dyDescent="0.25">
      <c r="A168" s="185" t="str">
        <f>A5</f>
        <v>Catégories</v>
      </c>
      <c r="B168" s="148" t="str">
        <f>B5</f>
        <v>Sous-catégories</v>
      </c>
      <c r="C168" s="187" t="s">
        <v>85</v>
      </c>
      <c r="D168" s="149" t="s">
        <v>92</v>
      </c>
      <c r="E168" s="149" t="s">
        <v>91</v>
      </c>
    </row>
    <row r="169" spans="1:14" ht="15" customHeight="1" x14ac:dyDescent="0.25">
      <c r="A169" s="539" t="str">
        <f t="shared" ref="A169" si="70">A6</f>
        <v>Déchets putrescibles</v>
      </c>
      <c r="B169" s="183" t="s">
        <v>119</v>
      </c>
      <c r="C169" s="193">
        <f>T6</f>
        <v>0.12758326922091093</v>
      </c>
      <c r="D169" s="194">
        <f>V6</f>
        <v>0.13942477575221973</v>
      </c>
      <c r="E169" s="194">
        <f>X6</f>
        <v>0.1157417626896021</v>
      </c>
    </row>
    <row r="170" spans="1:14" ht="17.25" customHeight="1" x14ac:dyDescent="0.25">
      <c r="A170" s="540"/>
      <c r="B170" s="182" t="s">
        <v>27</v>
      </c>
      <c r="C170" s="188">
        <f t="shared" ref="C170:C173" si="71">T7</f>
        <v>7.2780295168829681E-2</v>
      </c>
      <c r="D170" s="63">
        <f t="shared" ref="D170:D173" si="72">V7</f>
        <v>6.6192580809648544E-2</v>
      </c>
      <c r="E170" s="63">
        <f t="shared" ref="E170:E173" si="73">X7</f>
        <v>7.9368009528010819E-2</v>
      </c>
    </row>
    <row r="171" spans="1:14" x14ac:dyDescent="0.25">
      <c r="A171" s="540"/>
      <c r="B171" s="183" t="s">
        <v>28</v>
      </c>
      <c r="C171" s="193">
        <f t="shared" si="71"/>
        <v>0</v>
      </c>
      <c r="D171" s="194">
        <f t="shared" si="72"/>
        <v>0</v>
      </c>
      <c r="E171" s="194">
        <f t="shared" si="73"/>
        <v>0</v>
      </c>
    </row>
    <row r="172" spans="1:14" x14ac:dyDescent="0.25">
      <c r="A172" s="540"/>
      <c r="B172" s="182" t="s">
        <v>29</v>
      </c>
      <c r="C172" s="188">
        <f t="shared" si="71"/>
        <v>2.4736187714069595E-3</v>
      </c>
      <c r="D172" s="63">
        <f t="shared" si="72"/>
        <v>1.8198418030777833E-3</v>
      </c>
      <c r="E172" s="63">
        <f t="shared" si="73"/>
        <v>3.127395739736135E-3</v>
      </c>
    </row>
    <row r="173" spans="1:14" x14ac:dyDescent="0.25">
      <c r="A173" s="541"/>
      <c r="B173" s="183" t="s">
        <v>30</v>
      </c>
      <c r="C173" s="193">
        <f t="shared" si="71"/>
        <v>6.3141718883619451E-4</v>
      </c>
      <c r="D173" s="194">
        <f t="shared" si="72"/>
        <v>7.6252783727155982E-5</v>
      </c>
      <c r="E173" s="194">
        <f t="shared" si="73"/>
        <v>1.186581593945233E-3</v>
      </c>
    </row>
    <row r="174" spans="1:14" x14ac:dyDescent="0.25">
      <c r="A174" s="542" t="str">
        <f>A19</f>
        <v>Complexes/ Composites</v>
      </c>
      <c r="B174" s="33" t="str">
        <f>B20</f>
        <v>Autres emballages composites</v>
      </c>
      <c r="C174" s="189">
        <f>T20</f>
        <v>9.3509002688002517E-3</v>
      </c>
      <c r="D174" s="65">
        <f>V20</f>
        <v>1.0806165405979952E-2</v>
      </c>
      <c r="E174" s="65">
        <f>X20</f>
        <v>7.8956351316205476E-3</v>
      </c>
    </row>
    <row r="175" spans="1:14" x14ac:dyDescent="0.25">
      <c r="A175" s="543"/>
      <c r="B175" s="183" t="s">
        <v>130</v>
      </c>
      <c r="C175" s="190">
        <f>T22</f>
        <v>5.5607217706374432E-4</v>
      </c>
      <c r="D175" s="64">
        <f>V22</f>
        <v>8.4680866033004618E-4</v>
      </c>
      <c r="E175" s="64">
        <f>X22</f>
        <v>2.6533569379744252E-4</v>
      </c>
    </row>
    <row r="176" spans="1:14" x14ac:dyDescent="0.25">
      <c r="A176" s="534" t="str">
        <f>A24</f>
        <v>Textiles sanitaires</v>
      </c>
      <c r="B176" s="33" t="str">
        <f>B24</f>
        <v>Textiles sanitaires fraction hygiénique</v>
      </c>
      <c r="C176" s="189">
        <f>T24</f>
        <v>7.1085102432277322E-2</v>
      </c>
      <c r="D176" s="65">
        <f>V24</f>
        <v>7.7820450029953817E-2</v>
      </c>
      <c r="E176" s="65">
        <f>X24</f>
        <v>6.4349754834600814E-2</v>
      </c>
    </row>
    <row r="177" spans="1:6" x14ac:dyDescent="0.25">
      <c r="A177" s="534"/>
      <c r="B177" s="192" t="str">
        <f>B25</f>
        <v>Textiles sanitaires fraction papiers souillés</v>
      </c>
      <c r="C177" s="190">
        <f>T25</f>
        <v>3.7794212210808628E-2</v>
      </c>
      <c r="D177" s="64">
        <f>V25</f>
        <v>3.998051316608487E-2</v>
      </c>
      <c r="E177" s="64">
        <f>X25</f>
        <v>3.5607911255532379E-2</v>
      </c>
    </row>
    <row r="178" spans="1:6" x14ac:dyDescent="0.25">
      <c r="A178" s="534" t="str">
        <f>A26</f>
        <v>Plastiques</v>
      </c>
      <c r="B178" s="33" t="s">
        <v>51</v>
      </c>
      <c r="C178" s="189">
        <f>T26</f>
        <v>7.1369998161761608E-2</v>
      </c>
      <c r="D178" s="65">
        <f>V26</f>
        <v>7.7867541098777929E-2</v>
      </c>
      <c r="E178" s="65">
        <f>X26</f>
        <v>6.4872455224745273E-2</v>
      </c>
    </row>
    <row r="179" spans="1:6" x14ac:dyDescent="0.25">
      <c r="A179" s="534"/>
      <c r="B179" s="192" t="str">
        <f>B29</f>
        <v>Autres emballages plastiques</v>
      </c>
      <c r="C179" s="190">
        <f>T29</f>
        <v>4.1794778769733802E-2</v>
      </c>
      <c r="D179" s="64">
        <f>V29</f>
        <v>3.495736631823089E-2</v>
      </c>
      <c r="E179" s="64">
        <f>X29</f>
        <v>4.8632191221236715E-2</v>
      </c>
    </row>
    <row r="180" spans="1:6" x14ac:dyDescent="0.25">
      <c r="A180" s="534"/>
      <c r="B180" s="33" t="str">
        <f>B30</f>
        <v>Autres plastiques</v>
      </c>
      <c r="C180" s="189">
        <f>T30</f>
        <v>3.4006674057859218E-2</v>
      </c>
      <c r="D180" s="65">
        <f>V30</f>
        <v>3.3609802539782845E-2</v>
      </c>
      <c r="E180" s="65">
        <f>X30</f>
        <v>3.4403545575935585E-2</v>
      </c>
    </row>
    <row r="181" spans="1:6" x14ac:dyDescent="0.25">
      <c r="A181" s="186" t="str">
        <f>A31</f>
        <v>Combustibles NC</v>
      </c>
      <c r="B181" s="33" t="s">
        <v>127</v>
      </c>
      <c r="C181" s="189">
        <f>T31</f>
        <v>3.9772238973150499E-2</v>
      </c>
      <c r="D181" s="65">
        <f>V31</f>
        <v>2.7973478083164152E-2</v>
      </c>
      <c r="E181" s="65">
        <f>X31</f>
        <v>5.1570999863136846E-2</v>
      </c>
    </row>
    <row r="182" spans="1:6" x14ac:dyDescent="0.25">
      <c r="A182" s="195" t="s">
        <v>57</v>
      </c>
      <c r="B182" s="192" t="s">
        <v>128</v>
      </c>
      <c r="C182" s="190">
        <f>T33</f>
        <v>1.4085848367116349E-2</v>
      </c>
      <c r="D182" s="64">
        <f>V33</f>
        <v>1.9691888629837243E-2</v>
      </c>
      <c r="E182" s="64">
        <f>X33</f>
        <v>8.4798081043954594E-3</v>
      </c>
    </row>
    <row r="183" spans="1:6" x14ac:dyDescent="0.25">
      <c r="A183" s="534" t="str">
        <f>A34</f>
        <v>Métaux</v>
      </c>
      <c r="B183" s="33" t="str">
        <f>B38</f>
        <v>Autres métaux ferreux</v>
      </c>
      <c r="C183" s="189">
        <f>T38</f>
        <v>9.4641958643562293E-4</v>
      </c>
      <c r="D183" s="65">
        <f>V38</f>
        <v>1.8928391728712459E-3</v>
      </c>
      <c r="E183" s="65">
        <f>X38</f>
        <v>0</v>
      </c>
    </row>
    <row r="184" spans="1:6" x14ac:dyDescent="0.25">
      <c r="A184" s="534"/>
      <c r="B184" s="192" t="str">
        <f>B39</f>
        <v xml:space="preserve">Autres métaux </v>
      </c>
      <c r="C184" s="189">
        <f>T39</f>
        <v>3.0879885270896756E-3</v>
      </c>
      <c r="D184" s="64">
        <f>V39</f>
        <v>2.8322327062267104E-3</v>
      </c>
      <c r="E184" s="64">
        <f>X39</f>
        <v>3.3437443479526416E-3</v>
      </c>
    </row>
    <row r="185" spans="1:6" x14ac:dyDescent="0.25">
      <c r="A185" s="186" t="s">
        <v>129</v>
      </c>
      <c r="B185" s="33" t="s">
        <v>129</v>
      </c>
      <c r="C185" s="189">
        <f>T40</f>
        <v>2.0777465887744918E-2</v>
      </c>
      <c r="D185" s="65">
        <f>V40</f>
        <v>2.2753704764281381E-2</v>
      </c>
      <c r="E185" s="65">
        <f>X40</f>
        <v>1.8801227011208461E-2</v>
      </c>
    </row>
    <row r="186" spans="1:6" x14ac:dyDescent="0.25">
      <c r="A186" s="186" t="s">
        <v>74</v>
      </c>
      <c r="B186" s="192"/>
      <c r="C186" s="190">
        <f>T51</f>
        <v>7.258772572918587E-2</v>
      </c>
      <c r="D186" s="64">
        <f>V51</f>
        <v>6.4911219191535738E-2</v>
      </c>
      <c r="E186" s="64">
        <f>X51</f>
        <v>8.0264232266835989E-2</v>
      </c>
    </row>
    <row r="187" spans="1:6" x14ac:dyDescent="0.25">
      <c r="A187" s="185"/>
      <c r="B187" s="33"/>
      <c r="C187" s="191">
        <f>SUM(C169:C186)</f>
        <v>0.62068402549901114</v>
      </c>
      <c r="D187" s="59">
        <f>SUM(D169:D186)</f>
        <v>0.62345746091573007</v>
      </c>
      <c r="E187" s="59">
        <f>SUM(E169:E186)</f>
        <v>0.61791059008229232</v>
      </c>
    </row>
    <row r="188" spans="1:6" x14ac:dyDescent="0.25">
      <c r="C188" s="39">
        <f>C187+C156</f>
        <v>0.99999731693920935</v>
      </c>
      <c r="D188" s="39">
        <f>D187+D156</f>
        <v>0.99999999999999989</v>
      </c>
      <c r="E188" s="39">
        <f>E187+E156</f>
        <v>0.99999463387841891</v>
      </c>
    </row>
    <row r="191" spans="1:6" ht="26.25" customHeight="1" x14ac:dyDescent="0.25">
      <c r="A191" s="197" t="s">
        <v>20</v>
      </c>
      <c r="B191" s="198" t="s">
        <v>21</v>
      </c>
      <c r="C191" s="199" t="s">
        <v>85</v>
      </c>
      <c r="D191" s="200" t="s">
        <v>97</v>
      </c>
      <c r="E191" s="200" t="s">
        <v>98</v>
      </c>
      <c r="F191" s="200" t="s">
        <v>99</v>
      </c>
    </row>
    <row r="192" spans="1:6" ht="15" customHeight="1" x14ac:dyDescent="0.25">
      <c r="A192" s="535" t="s">
        <v>26</v>
      </c>
      <c r="B192" s="182" t="str">
        <f>B169</f>
        <v>Déchets alimentaires (non consommables)</v>
      </c>
      <c r="C192" s="67">
        <f>C169</f>
        <v>0.12758326922091093</v>
      </c>
      <c r="D192" s="526">
        <f>SUM(C192:C197)</f>
        <v>0.2607022251127139</v>
      </c>
      <c r="E192" s="526">
        <f>SUM(C192:C205)</f>
        <v>0.46455821403657382</v>
      </c>
      <c r="F192" s="526">
        <f>SUM(C192:C207)</f>
        <v>0.57343752867965969</v>
      </c>
    </row>
    <row r="193" spans="1:13" ht="21" customHeight="1" x14ac:dyDescent="0.25">
      <c r="A193" s="535"/>
      <c r="B193" s="182" t="str">
        <f t="shared" ref="B193:C196" si="74">B170</f>
        <v>Produits alimentaires non consommés</v>
      </c>
      <c r="C193" s="67">
        <f t="shared" si="74"/>
        <v>7.2780295168829681E-2</v>
      </c>
      <c r="D193" s="526"/>
      <c r="E193" s="526"/>
      <c r="F193" s="526"/>
    </row>
    <row r="194" spans="1:13" ht="15" customHeight="1" x14ac:dyDescent="0.25">
      <c r="A194" s="535"/>
      <c r="B194" s="182" t="str">
        <f t="shared" si="74"/>
        <v>Autres putrescibles</v>
      </c>
      <c r="C194" s="67">
        <f t="shared" si="74"/>
        <v>0</v>
      </c>
      <c r="D194" s="526"/>
      <c r="E194" s="526"/>
      <c r="F194" s="526"/>
    </row>
    <row r="195" spans="1:13" ht="15" customHeight="1" x14ac:dyDescent="0.25">
      <c r="A195" s="535"/>
      <c r="B195" s="182" t="str">
        <f t="shared" si="74"/>
        <v>Déchets de jardins ligneux</v>
      </c>
      <c r="C195" s="67">
        <f t="shared" si="74"/>
        <v>2.4736187714069595E-3</v>
      </c>
      <c r="D195" s="526"/>
      <c r="E195" s="526"/>
      <c r="F195" s="526"/>
    </row>
    <row r="196" spans="1:13" ht="15" customHeight="1" x14ac:dyDescent="0.25">
      <c r="A196" s="535"/>
      <c r="B196" s="182" t="str">
        <f t="shared" si="74"/>
        <v>Déchets de jardins non ligneux</v>
      </c>
      <c r="C196" s="67">
        <f t="shared" si="74"/>
        <v>6.3141718883619451E-4</v>
      </c>
      <c r="D196" s="526"/>
      <c r="E196" s="526"/>
      <c r="F196" s="526"/>
    </row>
    <row r="197" spans="1:13" ht="15" customHeight="1" x14ac:dyDescent="0.25">
      <c r="A197" s="201" t="s">
        <v>74</v>
      </c>
      <c r="B197" s="182"/>
      <c r="C197" s="67">
        <f>D87</f>
        <v>5.7233624762730154E-2</v>
      </c>
      <c r="D197" s="526"/>
      <c r="E197" s="526"/>
      <c r="F197" s="526"/>
    </row>
    <row r="198" spans="1:13" ht="15" customHeight="1" x14ac:dyDescent="0.25">
      <c r="A198" s="535" t="s">
        <v>31</v>
      </c>
      <c r="B198" s="182" t="s">
        <v>32</v>
      </c>
      <c r="C198" s="67">
        <f>T11</f>
        <v>1.0658426592551042E-2</v>
      </c>
      <c r="D198" s="536"/>
      <c r="E198" s="526"/>
      <c r="F198" s="526"/>
    </row>
    <row r="199" spans="1:13" ht="15" customHeight="1" x14ac:dyDescent="0.25">
      <c r="A199" s="535"/>
      <c r="B199" s="182" t="s">
        <v>33</v>
      </c>
      <c r="C199" s="67">
        <f t="shared" ref="C199:C205" si="75">T12</f>
        <v>1.4562992148882511E-2</v>
      </c>
      <c r="D199" s="536"/>
      <c r="E199" s="526"/>
      <c r="F199" s="526"/>
    </row>
    <row r="200" spans="1:13" ht="15" customHeight="1" x14ac:dyDescent="0.25">
      <c r="A200" s="535"/>
      <c r="B200" s="182" t="s">
        <v>34</v>
      </c>
      <c r="C200" s="67">
        <f t="shared" si="75"/>
        <v>3.2729346588259087E-2</v>
      </c>
      <c r="D200" s="536"/>
      <c r="E200" s="526"/>
      <c r="F200" s="526"/>
    </row>
    <row r="201" spans="1:13" ht="15" customHeight="1" x14ac:dyDescent="0.25">
      <c r="A201" s="535"/>
      <c r="B201" s="182" t="s">
        <v>35</v>
      </c>
      <c r="C201" s="67">
        <f t="shared" si="75"/>
        <v>3.348620770791691E-2</v>
      </c>
      <c r="D201" s="536"/>
      <c r="E201" s="526"/>
      <c r="F201" s="526"/>
    </row>
    <row r="202" spans="1:13" ht="15" customHeight="1" x14ac:dyDescent="0.25">
      <c r="A202" s="535"/>
      <c r="B202" s="182" t="s">
        <v>36</v>
      </c>
      <c r="C202" s="67">
        <f t="shared" si="75"/>
        <v>3.7922161960338346E-2</v>
      </c>
      <c r="D202" s="536"/>
      <c r="E202" s="526"/>
      <c r="F202" s="526"/>
    </row>
    <row r="203" spans="1:13" ht="15" customHeight="1" x14ac:dyDescent="0.25">
      <c r="A203" s="535" t="s">
        <v>37</v>
      </c>
      <c r="B203" s="182" t="s">
        <v>38</v>
      </c>
      <c r="C203" s="67">
        <f t="shared" si="75"/>
        <v>3.699387486838792E-2</v>
      </c>
      <c r="D203" s="536"/>
      <c r="E203" s="526"/>
      <c r="F203" s="526"/>
    </row>
    <row r="204" spans="1:13" ht="15" customHeight="1" x14ac:dyDescent="0.25">
      <c r="A204" s="535"/>
      <c r="B204" s="182" t="s">
        <v>39</v>
      </c>
      <c r="C204" s="67">
        <f t="shared" si="75"/>
        <v>2.7333525664950495E-2</v>
      </c>
      <c r="D204" s="536"/>
      <c r="E204" s="526"/>
      <c r="F204" s="526"/>
    </row>
    <row r="205" spans="1:13" ht="15" customHeight="1" x14ac:dyDescent="0.25">
      <c r="A205" s="535"/>
      <c r="B205" s="182" t="s">
        <v>40</v>
      </c>
      <c r="C205" s="67">
        <f t="shared" si="75"/>
        <v>1.0169453392573585E-2</v>
      </c>
      <c r="D205" s="536"/>
      <c r="E205" s="526"/>
      <c r="F205" s="526"/>
    </row>
    <row r="206" spans="1:13" ht="15" customHeight="1" x14ac:dyDescent="0.25">
      <c r="A206" s="535" t="s">
        <v>47</v>
      </c>
      <c r="B206" s="182" t="s">
        <v>48</v>
      </c>
      <c r="C206" s="67">
        <f>T24</f>
        <v>7.1085102432277322E-2</v>
      </c>
      <c r="D206" s="536"/>
      <c r="E206" s="536"/>
      <c r="F206" s="526"/>
      <c r="I206" s="66" t="s">
        <v>20</v>
      </c>
      <c r="K206" s="66" t="s">
        <v>20</v>
      </c>
      <c r="M206" s="66" t="s">
        <v>20</v>
      </c>
    </row>
    <row r="207" spans="1:13" ht="15" customHeight="1" x14ac:dyDescent="0.25">
      <c r="A207" s="535"/>
      <c r="B207" s="182" t="s">
        <v>49</v>
      </c>
      <c r="C207" s="67">
        <f>T25</f>
        <v>3.7794212210808628E-2</v>
      </c>
      <c r="D207" s="536"/>
      <c r="E207" s="536"/>
      <c r="F207" s="526"/>
    </row>
    <row r="208" spans="1:13" ht="15" customHeight="1" x14ac:dyDescent="0.25">
      <c r="A208" s="527" t="s">
        <v>25</v>
      </c>
      <c r="B208" s="527"/>
      <c r="C208" s="68">
        <f>SUM(C192:C207)</f>
        <v>0.57343752867965969</v>
      </c>
      <c r="D208" s="536"/>
      <c r="E208" s="536"/>
      <c r="F208" s="526"/>
    </row>
    <row r="215" spans="2:14" x14ac:dyDescent="0.25">
      <c r="B215" s="511"/>
      <c r="C215" s="508" t="s">
        <v>91</v>
      </c>
      <c r="D215" s="509"/>
      <c r="E215" s="509"/>
      <c r="F215" s="509"/>
      <c r="G215" s="509"/>
      <c r="H215" s="510"/>
      <c r="I215" s="509" t="s">
        <v>92</v>
      </c>
      <c r="J215" s="509"/>
      <c r="K215" s="509"/>
      <c r="L215" s="509"/>
      <c r="M215" s="509"/>
      <c r="N215" s="509"/>
    </row>
    <row r="216" spans="2:14" ht="24" x14ac:dyDescent="0.25">
      <c r="B216" s="512"/>
      <c r="C216" s="120" t="s">
        <v>78</v>
      </c>
      <c r="D216" s="121" t="s">
        <v>93</v>
      </c>
      <c r="E216" s="121" t="s">
        <v>94</v>
      </c>
      <c r="F216" s="122" t="s">
        <v>105</v>
      </c>
      <c r="G216" s="123" t="s">
        <v>113</v>
      </c>
      <c r="H216" s="130" t="s">
        <v>114</v>
      </c>
      <c r="I216" s="121" t="s">
        <v>77</v>
      </c>
      <c r="J216" s="121" t="s">
        <v>93</v>
      </c>
      <c r="K216" s="121" t="s">
        <v>94</v>
      </c>
      <c r="L216" s="122" t="s">
        <v>105</v>
      </c>
      <c r="M216" s="123" t="s">
        <v>113</v>
      </c>
      <c r="N216" s="119" t="s">
        <v>114</v>
      </c>
    </row>
    <row r="217" spans="2:14" x14ac:dyDescent="0.25">
      <c r="B217" s="51" t="s">
        <v>82</v>
      </c>
      <c r="C217" s="67">
        <f t="shared" ref="C217:E229" si="76">D91</f>
        <v>0.19942374955129427</v>
      </c>
      <c r="D217" s="67">
        <f t="shared" si="76"/>
        <v>0.1259911893080515</v>
      </c>
      <c r="E217" s="67">
        <f t="shared" si="76"/>
        <v>0.26595443420772169</v>
      </c>
      <c r="F217" s="67">
        <f t="shared" ref="F217:H229" si="77">E107</f>
        <v>0.13053810788540407</v>
      </c>
      <c r="G217" s="67">
        <f t="shared" si="77"/>
        <v>0.1305381078854041</v>
      </c>
      <c r="H217" s="128">
        <f t="shared" si="77"/>
        <v>0.6545765395501606</v>
      </c>
      <c r="I217" s="126">
        <f t="shared" ref="I217:K229" si="78">I91</f>
        <v>0.20751345114867323</v>
      </c>
      <c r="J217" s="67">
        <f t="shared" si="78"/>
        <v>0.1794374587644047</v>
      </c>
      <c r="K217" s="67">
        <f t="shared" si="78"/>
        <v>0.24860521529116161</v>
      </c>
      <c r="L217" s="124">
        <f>J107</f>
        <v>7.4299301794887973E-2</v>
      </c>
      <c r="M217" s="124">
        <f>K107</f>
        <v>7.4299301794887987E-2</v>
      </c>
      <c r="N217" s="124">
        <f>L107</f>
        <v>0.35804571406629526</v>
      </c>
    </row>
    <row r="218" spans="2:14" x14ac:dyDescent="0.25">
      <c r="B218" s="54" t="s">
        <v>31</v>
      </c>
      <c r="C218" s="117">
        <f t="shared" si="76"/>
        <v>0.13107203989411825</v>
      </c>
      <c r="D218" s="117">
        <f t="shared" si="76"/>
        <v>9.7627891623808416E-2</v>
      </c>
      <c r="E218" s="117">
        <f t="shared" si="76"/>
        <v>0.19178378249817812</v>
      </c>
      <c r="F218" s="117">
        <f t="shared" si="77"/>
        <v>9.1352523362343188E-2</v>
      </c>
      <c r="G218" s="117">
        <f t="shared" si="77"/>
        <v>9.1352523362343174E-2</v>
      </c>
      <c r="H218" s="129">
        <f t="shared" si="77"/>
        <v>0.69696423002296271</v>
      </c>
      <c r="I218" s="127">
        <f t="shared" si="78"/>
        <v>0.12764623010177753</v>
      </c>
      <c r="J218" s="117">
        <f t="shared" si="78"/>
        <v>0.11046930974281378</v>
      </c>
      <c r="K218" s="117">
        <f t="shared" si="78"/>
        <v>0.15029629900576674</v>
      </c>
      <c r="L218" s="125">
        <f t="shared" ref="L218:L229" si="79">J108</f>
        <v>4.1573531428775082E-2</v>
      </c>
      <c r="M218" s="125">
        <f t="shared" ref="M218:M229" si="80">K108</f>
        <v>4.1573531428775089E-2</v>
      </c>
      <c r="N218" s="125">
        <f t="shared" ref="N218:N229" si="81">L108</f>
        <v>0.32569337453700609</v>
      </c>
    </row>
    <row r="219" spans="2:14" x14ac:dyDescent="0.25">
      <c r="B219" s="51" t="s">
        <v>37</v>
      </c>
      <c r="C219" s="67">
        <f t="shared" si="76"/>
        <v>8.0900115115521976E-2</v>
      </c>
      <c r="D219" s="67">
        <f t="shared" si="76"/>
        <v>4.6072624061064806E-2</v>
      </c>
      <c r="E219" s="67">
        <f t="shared" si="76"/>
        <v>0.11835097617063614</v>
      </c>
      <c r="F219" s="67">
        <f t="shared" si="77"/>
        <v>6.5144198203480386E-2</v>
      </c>
      <c r="G219" s="67">
        <f t="shared" si="77"/>
        <v>6.5144198203480386E-2</v>
      </c>
      <c r="H219" s="128">
        <f t="shared" si="77"/>
        <v>0.8052423424918147</v>
      </c>
      <c r="I219" s="126">
        <f t="shared" si="78"/>
        <v>6.8093592736302028E-2</v>
      </c>
      <c r="J219" s="67">
        <f t="shared" si="78"/>
        <v>4.3083549492035987E-2</v>
      </c>
      <c r="K219" s="67">
        <f t="shared" si="78"/>
        <v>8.48573189623619E-2</v>
      </c>
      <c r="L219" s="124">
        <f t="shared" si="79"/>
        <v>4.1889306654921327E-2</v>
      </c>
      <c r="M219" s="124">
        <f t="shared" si="80"/>
        <v>4.1889306654921327E-2</v>
      </c>
      <c r="N219" s="124">
        <f t="shared" si="81"/>
        <v>0.61517251435301812</v>
      </c>
    </row>
    <row r="220" spans="2:14" x14ac:dyDescent="0.25">
      <c r="B220" s="54" t="s">
        <v>83</v>
      </c>
      <c r="C220" s="117">
        <f t="shared" si="76"/>
        <v>2.5804999582151756E-2</v>
      </c>
      <c r="D220" s="117">
        <f t="shared" si="76"/>
        <v>6.7545066852104044E-3</v>
      </c>
      <c r="E220" s="117">
        <f t="shared" si="76"/>
        <v>6.1040790537762846E-2</v>
      </c>
      <c r="F220" s="117">
        <f t="shared" si="77"/>
        <v>5.352366575918175E-2</v>
      </c>
      <c r="G220" s="117">
        <f t="shared" si="77"/>
        <v>5.352366575918175E-2</v>
      </c>
      <c r="H220" s="129">
        <f t="shared" si="77"/>
        <v>2.0741587531821484</v>
      </c>
      <c r="I220" s="127">
        <f t="shared" si="78"/>
        <v>2.0747393381924457E-2</v>
      </c>
      <c r="J220" s="117">
        <f t="shared" si="78"/>
        <v>1.5807792600731084E-2</v>
      </c>
      <c r="K220" s="117">
        <f t="shared" si="78"/>
        <v>2.4361689000505983E-2</v>
      </c>
      <c r="L220" s="125">
        <f t="shared" si="79"/>
        <v>8.7606766028615612E-3</v>
      </c>
      <c r="M220" s="125">
        <f t="shared" si="80"/>
        <v>8.7606766028615612E-3</v>
      </c>
      <c r="N220" s="125">
        <f t="shared" si="81"/>
        <v>0.42225432571660004</v>
      </c>
    </row>
    <row r="221" spans="2:14" x14ac:dyDescent="0.25">
      <c r="B221" s="51" t="s">
        <v>46</v>
      </c>
      <c r="C221" s="67">
        <f t="shared" si="76"/>
        <v>3.1006902496326677E-2</v>
      </c>
      <c r="D221" s="67">
        <f t="shared" si="76"/>
        <v>6.6155993787452641E-3</v>
      </c>
      <c r="E221" s="67">
        <f t="shared" si="76"/>
        <v>5.7702396022015191E-2</v>
      </c>
      <c r="F221" s="67">
        <f t="shared" si="77"/>
        <v>4.5615033120687258E-2</v>
      </c>
      <c r="G221" s="67">
        <f t="shared" si="77"/>
        <v>4.5615033120687265E-2</v>
      </c>
      <c r="H221" s="128">
        <f t="shared" si="77"/>
        <v>1.4711251188696188</v>
      </c>
      <c r="I221" s="126">
        <f t="shared" si="78"/>
        <v>2.5658001803744022E-2</v>
      </c>
      <c r="J221" s="67">
        <f t="shared" si="78"/>
        <v>1.3401604400057292E-2</v>
      </c>
      <c r="K221" s="67">
        <f t="shared" si="78"/>
        <v>4.9399373900884544E-2</v>
      </c>
      <c r="L221" s="124">
        <f t="shared" si="79"/>
        <v>3.5380995607782559E-2</v>
      </c>
      <c r="M221" s="124">
        <f t="shared" si="80"/>
        <v>3.5380995607782559E-2</v>
      </c>
      <c r="N221" s="124">
        <f t="shared" si="81"/>
        <v>1.3789458695345385</v>
      </c>
    </row>
    <row r="222" spans="2:14" x14ac:dyDescent="0.25">
      <c r="B222" s="54" t="s">
        <v>47</v>
      </c>
      <c r="C222" s="117">
        <f t="shared" si="76"/>
        <v>9.9957666090133193E-2</v>
      </c>
      <c r="D222" s="117">
        <f t="shared" si="76"/>
        <v>4.0816836073734722E-2</v>
      </c>
      <c r="E222" s="117">
        <f t="shared" si="76"/>
        <v>0.21898216099394369</v>
      </c>
      <c r="F222" s="117">
        <f t="shared" si="77"/>
        <v>0.18172145608699497</v>
      </c>
      <c r="G222" s="117">
        <f t="shared" si="77"/>
        <v>0.18172145608699497</v>
      </c>
      <c r="H222" s="129">
        <f t="shared" si="77"/>
        <v>1.8179841846560747</v>
      </c>
      <c r="I222" s="127">
        <f t="shared" si="78"/>
        <v>0.11780096319603868</v>
      </c>
      <c r="J222" s="117">
        <f t="shared" si="78"/>
        <v>8.6332316395432193E-2</v>
      </c>
      <c r="K222" s="117">
        <f t="shared" si="78"/>
        <v>0.18453718532993546</v>
      </c>
      <c r="L222" s="125">
        <f t="shared" si="79"/>
        <v>0.10101940439077682</v>
      </c>
      <c r="M222" s="125">
        <f t="shared" si="80"/>
        <v>0.10101940439077682</v>
      </c>
      <c r="N222" s="125">
        <f t="shared" si="81"/>
        <v>0.85754311042996478</v>
      </c>
    </row>
    <row r="223" spans="2:14" x14ac:dyDescent="0.25">
      <c r="B223" s="51" t="s">
        <v>50</v>
      </c>
      <c r="C223" s="67">
        <f t="shared" si="76"/>
        <v>0.17518784566422416</v>
      </c>
      <c r="D223" s="67">
        <f t="shared" si="76"/>
        <v>0.14095890950369683</v>
      </c>
      <c r="E223" s="67">
        <f t="shared" si="76"/>
        <v>0.19574788697124892</v>
      </c>
      <c r="F223" s="67">
        <f t="shared" si="77"/>
        <v>5.5808056244871632E-2</v>
      </c>
      <c r="G223" s="67">
        <f t="shared" si="77"/>
        <v>5.5808056244871639E-2</v>
      </c>
      <c r="H223" s="128">
        <f t="shared" si="77"/>
        <v>0.3185612337047446</v>
      </c>
      <c r="I223" s="126">
        <f t="shared" si="78"/>
        <v>0.17723572129161097</v>
      </c>
      <c r="J223" s="67">
        <f t="shared" si="78"/>
        <v>0.15271500927851134</v>
      </c>
      <c r="K223" s="67">
        <f t="shared" si="78"/>
        <v>0.22108924162522864</v>
      </c>
      <c r="L223" s="124">
        <f t="shared" si="79"/>
        <v>6.8008320402182215E-2</v>
      </c>
      <c r="M223" s="124">
        <f t="shared" si="80"/>
        <v>6.8008320402182215E-2</v>
      </c>
      <c r="N223" s="124">
        <f t="shared" si="81"/>
        <v>0.3837167807176195</v>
      </c>
    </row>
    <row r="224" spans="2:14" x14ac:dyDescent="0.25">
      <c r="B224" s="54" t="s">
        <v>56</v>
      </c>
      <c r="C224" s="117">
        <f t="shared" si="76"/>
        <v>5.1570999863136846E-2</v>
      </c>
      <c r="D224" s="117">
        <f t="shared" si="76"/>
        <v>2.8372681426248443E-2</v>
      </c>
      <c r="E224" s="117">
        <f t="shared" si="76"/>
        <v>8.8507146924422811E-2</v>
      </c>
      <c r="F224" s="117">
        <f t="shared" si="77"/>
        <v>6.2936363255085712E-2</v>
      </c>
      <c r="G224" s="117">
        <f t="shared" si="77"/>
        <v>6.2936363255085712E-2</v>
      </c>
      <c r="H224" s="129">
        <f t="shared" si="77"/>
        <v>1.2203828396213212</v>
      </c>
      <c r="I224" s="127">
        <f t="shared" si="78"/>
        <v>2.7973478083164152E-2</v>
      </c>
      <c r="J224" s="117">
        <f t="shared" si="78"/>
        <v>1.8153479123607305E-2</v>
      </c>
      <c r="K224" s="117">
        <f t="shared" si="78"/>
        <v>4.6250044687314126E-2</v>
      </c>
      <c r="L224" s="125">
        <f t="shared" si="79"/>
        <v>2.8647315900400767E-2</v>
      </c>
      <c r="M224" s="125">
        <f t="shared" si="80"/>
        <v>2.8647315900400767E-2</v>
      </c>
      <c r="N224" s="125">
        <f t="shared" si="81"/>
        <v>1.0240884531853107</v>
      </c>
    </row>
    <row r="225" spans="2:14" x14ac:dyDescent="0.25">
      <c r="B225" s="51" t="s">
        <v>57</v>
      </c>
      <c r="C225" s="67">
        <f t="shared" si="76"/>
        <v>6.7699027013008409E-2</v>
      </c>
      <c r="D225" s="67">
        <f t="shared" si="76"/>
        <v>3.6998723049778096E-2</v>
      </c>
      <c r="E225" s="67">
        <f t="shared" si="76"/>
        <v>9.203485422166581E-2</v>
      </c>
      <c r="F225" s="67">
        <f t="shared" si="77"/>
        <v>5.3159498467307567E-2</v>
      </c>
      <c r="G225" s="67">
        <f t="shared" si="77"/>
        <v>5.3159498467307567E-2</v>
      </c>
      <c r="H225" s="128">
        <f t="shared" si="77"/>
        <v>0.78523282848796239</v>
      </c>
      <c r="I225" s="126">
        <f t="shared" si="78"/>
        <v>0.1036675429705026</v>
      </c>
      <c r="J225" s="67">
        <f t="shared" si="78"/>
        <v>6.5123370324336266E-2</v>
      </c>
      <c r="K225" s="67">
        <f t="shared" si="78"/>
        <v>0.126565057272441</v>
      </c>
      <c r="L225" s="124">
        <f t="shared" si="79"/>
        <v>6.3262505316933101E-2</v>
      </c>
      <c r="M225" s="124">
        <f t="shared" si="80"/>
        <v>6.3262505316933088E-2</v>
      </c>
      <c r="N225" s="124">
        <f t="shared" si="81"/>
        <v>0.61024408898100058</v>
      </c>
    </row>
    <row r="226" spans="2:14" x14ac:dyDescent="0.25">
      <c r="B226" s="54" t="s">
        <v>60</v>
      </c>
      <c r="C226" s="117">
        <f t="shared" si="76"/>
        <v>3.4729026147947713E-2</v>
      </c>
      <c r="D226" s="117">
        <f t="shared" si="76"/>
        <v>2.1046024700832642E-2</v>
      </c>
      <c r="E226" s="117">
        <f t="shared" si="76"/>
        <v>4.3554381006105959E-2</v>
      </c>
      <c r="F226" s="117">
        <f t="shared" si="77"/>
        <v>2.0962656503968093E-2</v>
      </c>
      <c r="G226" s="117">
        <f t="shared" si="77"/>
        <v>2.0962656503968093E-2</v>
      </c>
      <c r="H226" s="129">
        <f t="shared" si="77"/>
        <v>0.60360622882616777</v>
      </c>
      <c r="I226" s="127">
        <f t="shared" si="78"/>
        <v>3.4027147572575522E-2</v>
      </c>
      <c r="J226" s="117">
        <f t="shared" si="78"/>
        <v>2.3282416643991465E-2</v>
      </c>
      <c r="K226" s="117">
        <f t="shared" si="78"/>
        <v>5.0606854586599817E-2</v>
      </c>
      <c r="L226" s="125">
        <f t="shared" si="79"/>
        <v>2.5522753647665312E-2</v>
      </c>
      <c r="M226" s="125">
        <f t="shared" si="80"/>
        <v>2.5522753647665312E-2</v>
      </c>
      <c r="N226" s="125">
        <f t="shared" si="81"/>
        <v>0.75007032526686424</v>
      </c>
    </row>
    <row r="227" spans="2:14" x14ac:dyDescent="0.25">
      <c r="B227" s="51" t="s">
        <v>67</v>
      </c>
      <c r="C227" s="67">
        <f t="shared" si="76"/>
        <v>1.8801227011208461E-2</v>
      </c>
      <c r="D227" s="67">
        <f t="shared" si="76"/>
        <v>2.4748924606106642E-4</v>
      </c>
      <c r="E227" s="67">
        <f t="shared" si="76"/>
        <v>5.7652670582628518E-2</v>
      </c>
      <c r="F227" s="67">
        <f t="shared" si="77"/>
        <v>5.8022077702290238E-2</v>
      </c>
      <c r="G227" s="67">
        <f t="shared" si="77"/>
        <v>5.8022077702290238E-2</v>
      </c>
      <c r="H227" s="128">
        <f t="shared" si="77"/>
        <v>3.0860793110843265</v>
      </c>
      <c r="I227" s="126">
        <f t="shared" si="78"/>
        <v>2.2753704764281381E-2</v>
      </c>
      <c r="J227" s="67">
        <f t="shared" si="78"/>
        <v>0</v>
      </c>
      <c r="K227" s="67">
        <f t="shared" si="78"/>
        <v>4.373016998137573E-2</v>
      </c>
      <c r="L227" s="124">
        <f t="shared" si="79"/>
        <v>4.4221449261882019E-2</v>
      </c>
      <c r="M227" s="124">
        <f t="shared" si="80"/>
        <v>4.4221449261882019E-2</v>
      </c>
      <c r="N227" s="124">
        <f t="shared" si="81"/>
        <v>1.9434834775258474</v>
      </c>
    </row>
    <row r="228" spans="2:14" x14ac:dyDescent="0.25">
      <c r="B228" s="54" t="s">
        <v>69</v>
      </c>
      <c r="C228" s="117">
        <f t="shared" si="76"/>
        <v>3.5768031825112777E-3</v>
      </c>
      <c r="D228" s="117">
        <f t="shared" si="76"/>
        <v>1.1041687714576358E-3</v>
      </c>
      <c r="E228" s="117">
        <f t="shared" si="76"/>
        <v>8.2298040782850107E-3</v>
      </c>
      <c r="F228" s="117">
        <f t="shared" si="77"/>
        <v>7.1397309454370892E-3</v>
      </c>
      <c r="G228" s="117">
        <f t="shared" si="77"/>
        <v>7.1397309454370892E-3</v>
      </c>
      <c r="H228" s="129">
        <f t="shared" si="77"/>
        <v>1.996120720409412</v>
      </c>
      <c r="I228" s="127">
        <f t="shared" si="78"/>
        <v>1.9715537578696013E-3</v>
      </c>
      <c r="J228" s="117">
        <f t="shared" si="78"/>
        <v>0</v>
      </c>
      <c r="K228" s="117">
        <f t="shared" si="78"/>
        <v>4.4265748140657262E-3</v>
      </c>
      <c r="L228" s="125">
        <f t="shared" si="79"/>
        <v>4.2409395884237967E-3</v>
      </c>
      <c r="M228" s="125">
        <f t="shared" si="80"/>
        <v>4.2409395884237967E-3</v>
      </c>
      <c r="N228" s="125">
        <f t="shared" si="81"/>
        <v>2.151064647106768</v>
      </c>
    </row>
    <row r="229" spans="2:14" x14ac:dyDescent="0.25">
      <c r="B229" s="57" t="s">
        <v>74</v>
      </c>
      <c r="C229" s="67">
        <f t="shared" si="76"/>
        <v>8.0264232266835989E-2</v>
      </c>
      <c r="D229" s="67">
        <f t="shared" si="76"/>
        <v>5.5118501480810947E-2</v>
      </c>
      <c r="E229" s="67">
        <f t="shared" si="76"/>
        <v>0.10992303163989642</v>
      </c>
      <c r="F229" s="67">
        <f t="shared" si="77"/>
        <v>4.9127317546935757E-2</v>
      </c>
      <c r="G229" s="67">
        <f t="shared" si="77"/>
        <v>4.912731754693575E-2</v>
      </c>
      <c r="H229" s="128">
        <f t="shared" si="77"/>
        <v>0.61206986174879841</v>
      </c>
      <c r="I229" s="126">
        <f t="shared" si="78"/>
        <v>6.4911219191535738E-2</v>
      </c>
      <c r="J229" s="67">
        <f t="shared" si="78"/>
        <v>4.3381492015019466E-2</v>
      </c>
      <c r="K229" s="67">
        <f t="shared" si="78"/>
        <v>0.10545420333343508</v>
      </c>
      <c r="L229" s="124">
        <f t="shared" si="79"/>
        <v>6.0191609045265049E-2</v>
      </c>
      <c r="M229" s="124">
        <f t="shared" si="80"/>
        <v>6.0191609045265056E-2</v>
      </c>
      <c r="N229" s="124">
        <f t="shared" si="81"/>
        <v>0.92729130333626353</v>
      </c>
    </row>
  </sheetData>
  <mergeCells count="114">
    <mergeCell ref="A192:A196"/>
    <mergeCell ref="A136:A137"/>
    <mergeCell ref="I55:J55"/>
    <mergeCell ref="K55:L55"/>
    <mergeCell ref="D73:D74"/>
    <mergeCell ref="E73:I73"/>
    <mergeCell ref="C89:C90"/>
    <mergeCell ref="I89:M89"/>
    <mergeCell ref="D89:H89"/>
    <mergeCell ref="A19:A22"/>
    <mergeCell ref="A24:A25"/>
    <mergeCell ref="A26:A30"/>
    <mergeCell ref="A32:A33"/>
    <mergeCell ref="A34:A39"/>
    <mergeCell ref="A41:A50"/>
    <mergeCell ref="A51:B51"/>
    <mergeCell ref="A52:B52"/>
    <mergeCell ref="M55:N55"/>
    <mergeCell ref="S3:T3"/>
    <mergeCell ref="S2:T2"/>
    <mergeCell ref="U3:V3"/>
    <mergeCell ref="U2:V2"/>
    <mergeCell ref="G3:H3"/>
    <mergeCell ref="V4:V5"/>
    <mergeCell ref="W4:W5"/>
    <mergeCell ref="X4:X5"/>
    <mergeCell ref="A6:A10"/>
    <mergeCell ref="W3:X3"/>
    <mergeCell ref="W2:X2"/>
    <mergeCell ref="A16:A18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O55:P55"/>
    <mergeCell ref="Q55:R55"/>
    <mergeCell ref="S55:T55"/>
    <mergeCell ref="U55:V55"/>
    <mergeCell ref="W55:X55"/>
    <mergeCell ref="U1:V1"/>
    <mergeCell ref="W1:X1"/>
    <mergeCell ref="A1:A3"/>
    <mergeCell ref="C1:D1"/>
    <mergeCell ref="E1:F1"/>
    <mergeCell ref="G1:H1"/>
    <mergeCell ref="I1:J1"/>
    <mergeCell ref="K1:L1"/>
    <mergeCell ref="C2:D2"/>
    <mergeCell ref="E2:F2"/>
    <mergeCell ref="G2:H2"/>
    <mergeCell ref="I2:J2"/>
    <mergeCell ref="K2:L2"/>
    <mergeCell ref="M2:N2"/>
    <mergeCell ref="O2:P2"/>
    <mergeCell ref="Q2:R2"/>
    <mergeCell ref="C3:D3"/>
    <mergeCell ref="E3:F3"/>
    <mergeCell ref="A11:A15"/>
    <mergeCell ref="A208:B208"/>
    <mergeCell ref="A126:A130"/>
    <mergeCell ref="C105:G105"/>
    <mergeCell ref="C73:C74"/>
    <mergeCell ref="C55:D55"/>
    <mergeCell ref="E55:F55"/>
    <mergeCell ref="G55:H55"/>
    <mergeCell ref="H105:L105"/>
    <mergeCell ref="A183:A184"/>
    <mergeCell ref="D192:D197"/>
    <mergeCell ref="E192:E205"/>
    <mergeCell ref="A198:A202"/>
    <mergeCell ref="D198:D208"/>
    <mergeCell ref="A203:A205"/>
    <mergeCell ref="A206:A207"/>
    <mergeCell ref="E206:E208"/>
    <mergeCell ref="A138:A141"/>
    <mergeCell ref="A176:A177"/>
    <mergeCell ref="A178:A180"/>
    <mergeCell ref="A145:A149"/>
    <mergeCell ref="A169:A173"/>
    <mergeCell ref="A131:A133"/>
    <mergeCell ref="A134:A135"/>
    <mergeCell ref="A174:A175"/>
    <mergeCell ref="C215:H215"/>
    <mergeCell ref="I215:N215"/>
    <mergeCell ref="B215:B216"/>
    <mergeCell ref="M1:N1"/>
    <mergeCell ref="O1:P1"/>
    <mergeCell ref="Q1:R1"/>
    <mergeCell ref="S1:T1"/>
    <mergeCell ref="A4:B4"/>
    <mergeCell ref="C4:C5"/>
    <mergeCell ref="D4:D5"/>
    <mergeCell ref="E4:E5"/>
    <mergeCell ref="F4:F5"/>
    <mergeCell ref="G4:G5"/>
    <mergeCell ref="H4:H5"/>
    <mergeCell ref="I4:I5"/>
    <mergeCell ref="I3:J3"/>
    <mergeCell ref="K3:L3"/>
    <mergeCell ref="M3:N3"/>
    <mergeCell ref="O3:P3"/>
    <mergeCell ref="Q3:R3"/>
    <mergeCell ref="A143:B143"/>
    <mergeCell ref="A155:B155"/>
    <mergeCell ref="A156:B156"/>
    <mergeCell ref="F192:F208"/>
  </mergeCells>
  <conditionalFormatting sqref="A11:B18">
    <cfRule type="dataBar" priority="9">
      <dataBar>
        <cfvo type="min"/>
        <cfvo type="max"/>
        <color rgb="FF63C384"/>
      </dataBar>
    </cfRule>
  </conditionalFormatting>
  <conditionalFormatting sqref="A19:B19 A21:B21">
    <cfRule type="dataBar" priority="8">
      <dataBar>
        <cfvo type="min"/>
        <cfvo type="max"/>
        <color rgb="FF63C384"/>
      </dataBar>
    </cfRule>
  </conditionalFormatting>
  <conditionalFormatting sqref="A22:B22">
    <cfRule type="dataBar" priority="7">
      <dataBar>
        <cfvo type="min"/>
        <cfvo type="max"/>
        <color rgb="FF63C384"/>
      </dataBar>
    </cfRule>
  </conditionalFormatting>
  <conditionalFormatting sqref="A26:B27">
    <cfRule type="dataBar" priority="6">
      <dataBar>
        <cfvo type="min"/>
        <cfvo type="max"/>
        <color rgb="FF63C384"/>
      </dataBar>
    </cfRule>
  </conditionalFormatting>
  <conditionalFormatting sqref="A31:B31">
    <cfRule type="dataBar" priority="5">
      <dataBar>
        <cfvo type="min"/>
        <cfvo type="max"/>
        <color rgb="FF63C384"/>
      </dataBar>
    </cfRule>
  </conditionalFormatting>
  <conditionalFormatting sqref="A33:B36">
    <cfRule type="dataBar" priority="4">
      <dataBar>
        <cfvo type="min"/>
        <cfvo type="max"/>
        <color rgb="FF63C384"/>
      </dataBar>
    </cfRule>
  </conditionalFormatting>
  <conditionalFormatting sqref="A40:B44">
    <cfRule type="dataBar" priority="3">
      <dataBar>
        <cfvo type="min"/>
        <cfvo type="max"/>
        <color rgb="FF63C384"/>
      </dataBar>
    </cfRule>
  </conditionalFormatting>
  <conditionalFormatting sqref="B145:B148">
    <cfRule type="dataBar" priority="2">
      <dataBar>
        <cfvo type="min"/>
        <cfvo type="max"/>
        <color rgb="FF63C384"/>
      </dataBar>
    </cfRule>
  </conditionalFormatting>
  <conditionalFormatting sqref="B175">
    <cfRule type="dataBar" priority="1">
      <dataBar>
        <cfvo type="min"/>
        <cfvo type="max"/>
        <color rgb="FF63C384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2AD7997DAA645B7B4940B2C274693" ma:contentTypeVersion="17" ma:contentTypeDescription="Crée un document." ma:contentTypeScope="" ma:versionID="494e1a7897d5c7b637785165f340f945">
  <xsd:schema xmlns:xsd="http://www.w3.org/2001/XMLSchema" xmlns:xs="http://www.w3.org/2001/XMLSchema" xmlns:p="http://schemas.microsoft.com/office/2006/metadata/properties" xmlns:ns2="c00f261c-1ba7-4a71-a066-d911447276f6" xmlns:ns3="ecb310b6-640f-4523-af8c-89dd838d8bb4" targetNamespace="http://schemas.microsoft.com/office/2006/metadata/properties" ma:root="true" ma:fieldsID="6486fc2124261459eebf7f9444b42215" ns2:_="" ns3:_="">
    <xsd:import namespace="c00f261c-1ba7-4a71-a066-d911447276f6"/>
    <xsd:import namespace="ecb310b6-640f-4523-af8c-89dd838d8b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261c-1ba7-4a71-a066-d91144727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a731026-a5bc-4d28-b754-af1dfa225c50}" ma:internalName="TaxCatchAll" ma:showField="CatchAllData" ma:web="c00f261c-1ba7-4a71-a066-d9114472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310b6-640f-4523-af8c-89dd838d8b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83ecb6b-f441-4b40-9f9b-e14c9d740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b310b6-640f-4523-af8c-89dd838d8bb4">
      <Terms xmlns="http://schemas.microsoft.com/office/infopath/2007/PartnerControls"/>
    </lcf76f155ced4ddcb4097134ff3c332f>
    <TaxCatchAll xmlns="c00f261c-1ba7-4a71-a066-d911447276f6" xsi:nil="true"/>
    <_Flow_SignoffStatus xmlns="ecb310b6-640f-4523-af8c-89dd838d8bb4" xsi:nil="true"/>
  </documentManagement>
</p:properties>
</file>

<file path=customXml/itemProps1.xml><?xml version="1.0" encoding="utf-8"?>
<ds:datastoreItem xmlns:ds="http://schemas.openxmlformats.org/officeDocument/2006/customXml" ds:itemID="{32AA4696-09B6-413A-8B1E-01D5A98E2229}"/>
</file>

<file path=customXml/itemProps2.xml><?xml version="1.0" encoding="utf-8"?>
<ds:datastoreItem xmlns:ds="http://schemas.openxmlformats.org/officeDocument/2006/customXml" ds:itemID="{9D180D34-BE5A-43DA-B3E5-6EE4098FC038}"/>
</file>

<file path=customXml/itemProps3.xml><?xml version="1.0" encoding="utf-8"?>
<ds:datastoreItem xmlns:ds="http://schemas.openxmlformats.org/officeDocument/2006/customXml" ds:itemID="{FBBD3AE8-E256-43AC-A71B-BDE9FB256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16</vt:i4>
      </vt:variant>
    </vt:vector>
  </HeadingPairs>
  <TitlesOfParts>
    <vt:vector size="39" baseType="lpstr">
      <vt:lpstr>ISS H15 PB BAN</vt:lpstr>
      <vt:lpstr>ISS H15 PB PAR</vt:lpstr>
      <vt:lpstr>IVR H15 PB BAN</vt:lpstr>
      <vt:lpstr>IVR H15 PB PAR</vt:lpstr>
      <vt:lpstr>ROM H15 PB BAN</vt:lpstr>
      <vt:lpstr>ROM H15 PB PAR</vt:lpstr>
      <vt:lpstr>STO H15 PB BAN</vt:lpstr>
      <vt:lpstr>STO H15 PB PAR </vt:lpstr>
      <vt:lpstr>Synthèse PB</vt:lpstr>
      <vt:lpstr>ISS H15 PC BAN</vt:lpstr>
      <vt:lpstr>ISS H15 PC PAR</vt:lpstr>
      <vt:lpstr>IVR H15 PC BAN</vt:lpstr>
      <vt:lpstr>IVR H15 PC PAR</vt:lpstr>
      <vt:lpstr>ROM H15 PC BAN </vt:lpstr>
      <vt:lpstr>ROM H15 PC PAR</vt:lpstr>
      <vt:lpstr>STO H15 PC BAN</vt:lpstr>
      <vt:lpstr>STO H15 PC PAR</vt:lpstr>
      <vt:lpstr>Synthèse PC</vt:lpstr>
      <vt:lpstr>SYCTOM Déchets ini. recons.</vt:lpstr>
      <vt:lpstr> SYCTOM Déchets Orga</vt:lpstr>
      <vt:lpstr> SYCTOM Catégories</vt:lpstr>
      <vt:lpstr> SYCTOM CSR (2)</vt:lpstr>
      <vt:lpstr>PCI PB et PC</vt:lpstr>
      <vt:lpstr>' SYCTOM Catégories'!Impression_des_titres</vt:lpstr>
      <vt:lpstr>' SYCTOM Déchets Orga'!Impression_des_titres</vt:lpstr>
      <vt:lpstr>'SYCTOM Déchets ini. recons.'!Impression_des_titres</vt:lpstr>
      <vt:lpstr>' SYCTOM Catégories'!Zone_d_impression</vt:lpstr>
      <vt:lpstr>' SYCTOM CSR (2)'!Zone_d_impression</vt:lpstr>
      <vt:lpstr>' SYCTOM Déchets Orga'!Zone_d_impression</vt:lpstr>
      <vt:lpstr>'ISS H15 PB BAN'!Zone_d_impression</vt:lpstr>
      <vt:lpstr>'ISS H15 PB PAR'!Zone_d_impression</vt:lpstr>
      <vt:lpstr>'IVR H15 PB BAN'!Zone_d_impression</vt:lpstr>
      <vt:lpstr>'IVR H15 PB PAR'!Zone_d_impression</vt:lpstr>
      <vt:lpstr>'ROM H15 PB BAN'!Zone_d_impression</vt:lpstr>
      <vt:lpstr>'ROM H15 PB PAR'!Zone_d_impression</vt:lpstr>
      <vt:lpstr>'STO H15 PB BAN'!Zone_d_impression</vt:lpstr>
      <vt:lpstr>'STO H15 PB PAR '!Zone_d_impression</vt:lpstr>
      <vt:lpstr>'SYCTOM Déchets ini. recons.'!Zone_d_impression</vt:lpstr>
      <vt:lpstr>'Synthèse PB'!Zone_d_impression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BOUX Catherine</cp:lastModifiedBy>
  <cp:lastPrinted>2014-10-08T09:13:47Z</cp:lastPrinted>
  <dcterms:created xsi:type="dcterms:W3CDTF">2012-09-10T09:35:36Z</dcterms:created>
  <dcterms:modified xsi:type="dcterms:W3CDTF">2017-11-03T10:55:08Z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0x0101000BE2AD7997DAA645B7B4940B2C274693</vt:lpwstr>
  </property>
</Properties>
</file>